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Q:\GCF\ENVIRONNEMENT\7_CARBONE\Coopératives\AFB\Projets_LBC\Projets_Tests\Agence Normandie-IleDeFrance-EureEtLoire\Projet Bretteville-sur-Ay_102021\"/>
    </mc:Choice>
  </mc:AlternateContent>
  <bookViews>
    <workbookView xWindow="0" yWindow="0" windowWidth="19200" windowHeight="7308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6" l="1"/>
  <c r="I24" i="6"/>
  <c r="I23" i="6"/>
  <c r="I22" i="6"/>
  <c r="I21" i="6"/>
  <c r="E172" i="6"/>
  <c r="E141" i="6"/>
  <c r="E110" i="6"/>
  <c r="E79" i="6"/>
  <c r="E48" i="6"/>
  <c r="E17" i="6"/>
  <c r="I20" i="6"/>
  <c r="D140" i="1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BQ4" i="2"/>
  <c r="B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DD33" i="2"/>
  <c r="ET33" i="2"/>
  <c r="EW33" i="2" s="1"/>
  <c r="CH33" i="2"/>
  <c r="AS33" i="2"/>
  <c r="CI33" i="2"/>
  <c r="BM33" i="2"/>
  <c r="X33" i="2"/>
  <c r="ES33" i="2"/>
  <c r="EV33" i="2" s="1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EB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C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C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DI154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AX152" i="2"/>
  <c r="AB156" i="2" l="1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C157" i="2"/>
  <c r="EA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ED158" i="2"/>
  <c r="EC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ED159" i="2"/>
  <c r="EC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D160" i="2" l="1"/>
  <c r="EB161" i="2"/>
  <c r="EA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B162" i="2" l="1"/>
  <c r="ED161" i="2"/>
  <c r="DI161" i="2"/>
  <c r="EC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ED163" i="2" l="1"/>
  <c r="EA164" i="2"/>
  <c r="DI163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DG167" i="2"/>
  <c r="EA167" i="2"/>
  <c r="EC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DI167" i="2"/>
  <c r="DG168" i="2"/>
  <c r="EC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A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B175" i="2" l="1"/>
  <c r="ED174" i="2"/>
  <c r="AA175" i="2"/>
  <c r="E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EA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A179" i="2" l="1"/>
  <c r="ED178" i="2"/>
  <c r="DF179" i="2"/>
  <c r="EB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D182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 l="1"/>
  <c r="EA185" i="2"/>
  <c r="EB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EA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C187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D189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A192" i="2" l="1"/>
  <c r="EB192" i="2"/>
  <c r="EC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EA193" i="2" l="1"/>
  <c r="ED192" i="2"/>
  <c r="EB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B194" i="2"/>
  <c r="EA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ED194" i="2"/>
  <c r="EA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 l="1"/>
  <c r="DI200" i="2"/>
  <c r="EB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AH62" i="2" l="1" a="1"/>
  <c r="AH62" i="2" s="1"/>
  <c r="AH151" i="2" a="1"/>
  <c r="AH151" i="2" s="1"/>
  <c r="CS72" i="2" a="1"/>
  <c r="CS72" i="2" s="1"/>
  <c r="CS56" i="2" a="1"/>
  <c r="CS56" i="2" s="1"/>
  <c r="CS38" i="2" a="1"/>
  <c r="CS38" i="2" s="1"/>
  <c r="CS129" i="2" a="1"/>
  <c r="CS129" i="2" s="1"/>
  <c r="CS137" i="2" a="1"/>
  <c r="CS137" i="2" s="1"/>
  <c r="CS134" i="2" a="1"/>
  <c r="CS134" i="2" s="1"/>
  <c r="CS114" i="2" a="1"/>
  <c r="CS114" i="2" s="1"/>
  <c r="CS105" i="2" a="1"/>
  <c r="CS105" i="2" s="1"/>
  <c r="CS52" i="2" a="1"/>
  <c r="CS52" i="2" s="1"/>
  <c r="CS185" i="2" a="1"/>
  <c r="CS185" i="2" s="1"/>
  <c r="CS161" i="2" a="1"/>
  <c r="CS161" i="2" s="1"/>
  <c r="CS24" i="2" a="1"/>
  <c r="CS24" i="2" s="1"/>
  <c r="CS66" i="2" a="1"/>
  <c r="CS66" i="2" s="1"/>
  <c r="CS120" i="2" a="1"/>
  <c r="CS120" i="2" s="1"/>
  <c r="CS77" i="2" a="1"/>
  <c r="CS77" i="2" s="1"/>
  <c r="CS116" i="2" a="1"/>
  <c r="CS116" i="2" s="1"/>
  <c r="BX107" i="2" a="1"/>
  <c r="BX107" i="2" s="1"/>
  <c r="AH199" i="2" a="1"/>
  <c r="AH199" i="2" s="1"/>
  <c r="AH166" i="2" a="1"/>
  <c r="AH166" i="2" s="1"/>
  <c r="AH19" i="2" a="1"/>
  <c r="AH19" i="2" s="1"/>
  <c r="AH90" i="2" a="1"/>
  <c r="AH90" i="2" s="1"/>
  <c r="AH92" i="2" a="1"/>
  <c r="AH92" i="2" s="1"/>
  <c r="AH163" i="2" a="1"/>
  <c r="AH163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DI203" i="2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BI103" i="2" l="1"/>
  <c r="BI116" i="2"/>
  <c r="BI94" i="2"/>
  <c r="BI24" i="2"/>
  <c r="BI196" i="2"/>
  <c r="BI43" i="2"/>
  <c r="BI23" i="2"/>
  <c r="BI176" i="2"/>
  <c r="BI140" i="2"/>
  <c r="BI192" i="2"/>
  <c r="BI198" i="2"/>
  <c r="BI191" i="2"/>
  <c r="BI57" i="2"/>
  <c r="BI60" i="2"/>
  <c r="BI153" i="2"/>
  <c r="BI170" i="2"/>
  <c r="BI151" i="2"/>
  <c r="BI13" i="2"/>
  <c r="BI45" i="2"/>
  <c r="BI29" i="2"/>
  <c r="BI159" i="2"/>
  <c r="BI6" i="2"/>
  <c r="BI99" i="2"/>
  <c r="BI52" i="2"/>
  <c r="BI112" i="2"/>
  <c r="BI108" i="2"/>
  <c r="BI156" i="2"/>
  <c r="BI169" i="2"/>
  <c r="BI58" i="2"/>
  <c r="BI9" i="2"/>
  <c r="BI125" i="2"/>
  <c r="BI33" i="2"/>
  <c r="BI179" i="2"/>
  <c r="BI91" i="2"/>
  <c r="BI173" i="2"/>
  <c r="BI56" i="2"/>
  <c r="BI199" i="2"/>
  <c r="BI31" i="2"/>
  <c r="BI42" i="2"/>
  <c r="BI160" i="2"/>
  <c r="BI77" i="2"/>
  <c r="BI139" i="2"/>
  <c r="BI150" i="2"/>
  <c r="BI197" i="2"/>
  <c r="BI84" i="2"/>
  <c r="BI119" i="2"/>
  <c r="BI186" i="2"/>
  <c r="BI142" i="2"/>
  <c r="BI69" i="2"/>
  <c r="BI87" i="2"/>
  <c r="BI164" i="2"/>
  <c r="BI85" i="2"/>
  <c r="BI16" i="2"/>
  <c r="BI64" i="2"/>
  <c r="BI162" i="2"/>
  <c r="BI177" i="2"/>
  <c r="BI88" i="2"/>
  <c r="BI82" i="2"/>
  <c r="BI50" i="2"/>
  <c r="BI98" i="2"/>
  <c r="BI167" i="2"/>
  <c r="BI17" i="2"/>
  <c r="BI62" i="2"/>
  <c r="BI154" i="2"/>
  <c r="BI194" i="2"/>
  <c r="BI136" i="2"/>
  <c r="BI149" i="2"/>
  <c r="BI26" i="2"/>
  <c r="BI75" i="2"/>
  <c r="BI66" i="2"/>
  <c r="BI146" i="2"/>
  <c r="BI95" i="2"/>
  <c r="BI97" i="2"/>
  <c r="BI161" i="2"/>
  <c r="BI171" i="2"/>
  <c r="BI144" i="2"/>
  <c r="BI120" i="2"/>
  <c r="BI80" i="2"/>
  <c r="BI73" i="2"/>
  <c r="BI202" i="2"/>
  <c r="BI193" i="2"/>
  <c r="BI92" i="2"/>
  <c r="BI78" i="2"/>
  <c r="BI63" i="2"/>
  <c r="BI70" i="2"/>
  <c r="BI137" i="2"/>
  <c r="BI101" i="2"/>
  <c r="BI86" i="2"/>
  <c r="BI30" i="2"/>
  <c r="BI27" i="2"/>
  <c r="BI178" i="2"/>
  <c r="BI163" i="2"/>
  <c r="BI53" i="2"/>
  <c r="BI96" i="2"/>
  <c r="BI141" i="2"/>
  <c r="BI121" i="2"/>
  <c r="BI38" i="2"/>
  <c r="BI44" i="2"/>
  <c r="BI89" i="2"/>
  <c r="BI93" i="2"/>
  <c r="BI182" i="2"/>
  <c r="BI39" i="2"/>
  <c r="BI3" i="2"/>
  <c r="C8" i="4" s="1"/>
  <c r="E8" i="4" s="1"/>
  <c r="F8" i="4" s="1"/>
  <c r="G8" i="4" s="1"/>
  <c r="L8" i="4" s="1"/>
  <c r="BI106" i="2"/>
  <c r="BI124" i="2"/>
  <c r="BI187" i="2"/>
  <c r="BI8" i="2"/>
  <c r="BI35" i="2"/>
  <c r="BI21" i="2"/>
  <c r="BI76" i="2"/>
  <c r="BI126" i="2"/>
  <c r="BI130" i="2"/>
  <c r="BI72" i="2"/>
  <c r="BI20" i="2"/>
  <c r="BI147" i="2"/>
  <c r="BI14" i="2"/>
  <c r="BI47" i="2"/>
  <c r="BI4" i="2"/>
  <c r="BI105" i="2"/>
  <c r="BI132" i="2"/>
  <c r="BI184" i="2"/>
  <c r="BI143" i="2"/>
  <c r="BI123" i="2"/>
  <c r="BI15" i="2"/>
  <c r="BI148" i="2"/>
  <c r="BI79" i="2"/>
  <c r="BI12" i="2"/>
  <c r="BI74" i="2"/>
  <c r="BI135" i="2"/>
  <c r="BI90" i="2"/>
  <c r="BI61" i="2"/>
  <c r="BI59" i="2"/>
  <c r="BI190" i="2"/>
  <c r="BI114" i="2"/>
  <c r="BI155" i="2"/>
  <c r="BI55" i="2"/>
  <c r="BI172" i="2"/>
  <c r="BI127" i="2"/>
  <c r="BI7" i="2"/>
  <c r="BI168" i="2"/>
  <c r="BI133" i="2"/>
  <c r="BI158" i="2"/>
  <c r="BI37" i="2"/>
  <c r="BI117" i="2"/>
  <c r="BI41" i="2"/>
  <c r="BI152" i="2"/>
  <c r="BI157" i="2"/>
  <c r="BI111" i="2"/>
  <c r="BI185" i="2"/>
  <c r="BI102" i="2"/>
  <c r="BI107" i="2"/>
  <c r="BI165" i="2"/>
  <c r="BI36" i="2"/>
  <c r="BI145" i="2"/>
  <c r="BI83" i="2"/>
  <c r="BI188" i="2"/>
  <c r="BI113" i="2"/>
  <c r="BI115" i="2"/>
  <c r="BI5" i="2"/>
  <c r="BI200" i="2"/>
  <c r="BI109" i="2"/>
  <c r="BI25" i="2"/>
  <c r="BI32" i="2"/>
  <c r="BI201" i="2"/>
  <c r="BI180" i="2"/>
  <c r="BI174" i="2"/>
  <c r="BI48" i="2"/>
  <c r="BI175" i="2"/>
  <c r="BI129" i="2"/>
  <c r="BI134" i="2"/>
  <c r="BI22" i="2"/>
  <c r="BI49" i="2"/>
  <c r="BI68" i="2"/>
  <c r="BI100" i="2"/>
  <c r="BI166" i="2"/>
  <c r="BI40" i="2"/>
  <c r="BI181" i="2"/>
  <c r="BI65" i="2"/>
  <c r="BI118" i="2"/>
  <c r="BI128" i="2"/>
  <c r="BI18" i="2"/>
  <c r="BI51" i="2"/>
  <c r="BI203" i="2"/>
  <c r="BI28" i="2"/>
  <c r="BI34" i="2"/>
  <c r="BI11" i="2"/>
  <c r="BI19" i="2"/>
  <c r="BI122" i="2"/>
  <c r="BI183" i="2"/>
  <c r="BI131" i="2"/>
  <c r="BI189" i="2"/>
  <c r="BI138" i="2"/>
  <c r="BI10" i="2"/>
  <c r="BI67" i="2"/>
  <c r="BI81" i="2"/>
  <c r="BI104" i="2"/>
  <c r="BI54" i="2"/>
  <c r="BI71" i="2"/>
  <c r="BI195" i="2"/>
  <c r="BI46" i="2"/>
  <c r="BI110" i="2"/>
  <c r="FE202" i="2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<sst xmlns="http://schemas.openxmlformats.org/spreadsheetml/2006/main" count="1177" uniqueCount="326">
  <si>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</si>
  <si>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</si>
  <si>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</si>
  <si>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</si>
  <si>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</si>
  <si>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</si>
  <si>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</si>
  <si>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</si>
  <si>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</si>
  <si>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</si>
  <si>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</si>
  <si>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</si>
  <si>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</si>
  <si>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</si>
  <si>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</si>
  <si>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</si>
  <si>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</si>
  <si>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</si>
  <si>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</si>
  <si>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</si>
  <si>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</si>
  <si>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</si>
  <si>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</si>
  <si>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</si>
  <si>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</si>
  <si>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</si>
  <si>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</si>
  <si>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</si>
  <si>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</si>
  <si>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</si>
  <si>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</si>
  <si>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</si>
  <si>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</si>
  <si>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</si>
  <si>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</si>
  <si>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</si>
  <si>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</si>
  <si>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</si>
  <si>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</si>
  <si>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</si>
  <si>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</si>
  <si>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</si>
  <si>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</si>
  <si>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</si>
  <si>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</si>
  <si>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</si>
  <si>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</si>
  <si>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</si>
  <si>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</si>
  <si>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</si>
  <si>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</si>
  <si>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</si>
  <si>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</si>
  <si>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</si>
  <si>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</si>
  <si>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</si>
  <si>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</si>
  <si>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</si>
  <si>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</si>
  <si>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</si>
  <si>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</si>
  <si>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</si>
  <si>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</si>
  <si>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</si>
  <si>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</si>
  <si>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</si>
  <si>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</si>
  <si>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</si>
  <si>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</si>
  <si>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</si>
  <si>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</si>
  <si>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</si>
  <si>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</si>
  <si>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</si>
  <si>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</si>
  <si>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</si>
  <si>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</si>
  <si>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</si>
  <si>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</si>
  <si>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</si>
  <si>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</si>
  <si>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</si>
  <si>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</si>
  <si>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</si>
  <si>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</si>
  <si>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</si>
  <si>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</si>
  <si>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</si>
  <si>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</si>
  <si>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</si>
  <si>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</si>
  <si>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</si>
  <si>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</si>
  <si>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</si>
  <si>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</si>
  <si>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</si>
  <si>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</si>
  <si>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</si>
  <si>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</si>
  <si>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</si>
  <si>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</si>
  <si>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</si>
  <si>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</si>
  <si>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</si>
  <si>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</si>
  <si>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</si>
  <si>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</si>
  <si>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</si>
  <si>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</si>
  <si>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</si>
  <si>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</si>
  <si>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</si>
  <si>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</si>
  <si>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</si>
  <si>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</si>
  <si>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</si>
  <si>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</si>
  <si>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</si>
  <si>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</si>
  <si>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</si>
  <si>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</si>
  <si>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</si>
  <si>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</si>
  <si>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</si>
  <si>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</si>
  <si>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</si>
  <si>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</si>
  <si>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</si>
  <si>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</si>
  <si>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</si>
  <si>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</si>
  <si>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</si>
  <si>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</si>
  <si>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</si>
  <si>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</si>
  <si>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</si>
  <si>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</si>
  <si>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</si>
  <si>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</si>
  <si>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</si>
  <si>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</si>
  <si>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</si>
  <si>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</si>
  <si>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</si>
  <si>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</si>
  <si>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</si>
  <si>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</si>
  <si>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</si>
  <si>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</si>
  <si>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</si>
  <si>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</si>
  <si>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</si>
  <si>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</si>
  <si>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</si>
  <si>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</si>
  <si>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</si>
  <si>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</si>
  <si>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</si>
  <si>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</si>
  <si>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</si>
  <si>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</si>
  <si>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</si>
  <si>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</si>
  <si>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</si>
  <si>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</si>
  <si>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</si>
  <si>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</si>
  <si>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</si>
  <si>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</si>
  <si>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</si>
  <si>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</si>
  <si>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</si>
  <si>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</si>
  <si>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</si>
  <si>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</si>
  <si>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</si>
  <si>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</si>
  <si>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</si>
  <si>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</si>
  <si>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</si>
  <si>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</si>
  <si>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</si>
  <si>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</si>
  <si>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</si>
  <si>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</si>
  <si>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</si>
  <si>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</si>
  <si>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</si>
  <si>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</si>
  <si>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</si>
  <si>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</si>
  <si>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</si>
  <si>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</si>
  <si>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</si>
  <si>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</si>
  <si>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</si>
  <si>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</si>
  <si>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</si>
  <si>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</si>
  <si>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</si>
  <si>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</si>
  <si>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</si>
  <si>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</si>
  <si>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</si>
  <si>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</si>
  <si>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</si>
  <si>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</si>
  <si>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</si>
  <si>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</si>
  <si>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</si>
  <si>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</si>
  <si>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</si>
  <si>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</si>
  <si>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</si>
  <si>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</si>
  <si>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</si>
  <si>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</si>
  <si>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</si>
  <si>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</si>
  <si>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</si>
  <si>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</si>
  <si>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</si>
  <si>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</si>
  <si>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</si>
  <si>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</si>
  <si>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</si>
  <si>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</si>
  <si>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</si>
  <si>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</si>
  <si>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</si>
  <si>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</si>
  <si>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</si>
  <si>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</si>
  <si>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</si>
  <si>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</si>
  <si>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</si>
  <si>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</si>
  <si>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</si>
  <si>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</si>
  <si>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</si>
  <si>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</si>
  <si>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</si>
  <si>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</si>
  <si>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</si>
  <si>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</si>
  <si>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</si>
  <si>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</si>
  <si>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</si>
  <si>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</si>
  <si>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</si>
  <si>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</si>
  <si>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</si>
  <si>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</si>
  <si>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</si>
  <si>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</si>
  <si>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</si>
  <si>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</si>
  <si>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</si>
  <si>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</si>
  <si>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</si>
  <si>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</si>
  <si>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</si>
  <si>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</si>
  <si>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</si>
  <si>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</si>
  <si>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</si>
  <si>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</si>
  <si>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</si>
  <si>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</si>
  <si>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</si>
  <si>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</si>
  <si>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</si>
  <si>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</si>
  <si>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</si>
  <si>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</si>
  <si>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</si>
  <si>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</si>
  <si>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</si>
  <si>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</si>
  <si>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</si>
  <si>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</si>
  <si>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</si>
  <si>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</si>
  <si>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</si>
  <si>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</si>
  <si>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</si>
  <si>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</si>
  <si>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</si>
  <si>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</si>
  <si>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</si>
  <si>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</si>
  <si>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</si>
  <si>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</si>
  <si>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</si>
  <si>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</si>
  <si>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</si>
  <si>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</si>
  <si>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</si>
  <si>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</si>
  <si>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</si>
  <si>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</si>
  <si>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</si>
  <si>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</si>
  <si>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</si>
  <si>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</si>
  <si>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</si>
  <si>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</si>
  <si>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</si>
  <si>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</si>
  <si>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</si>
  <si>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</si>
  <si>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</si>
  <si>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</si>
  <si>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</si>
  <si>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</si>
  <si>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</si>
  <si>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</si>
  <si>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</si>
  <si>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</si>
  <si>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</si>
  <si>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</si>
  <si>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</si>
  <si>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</si>
  <si>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</si>
  <si>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Les parcelles de 3,5 ha situées sur la commune de Saint Germain ont été acquises par les propriétaires depuis moins de 5 ans et aucun revenu n'a été tiré.</t>
  </si>
  <si>
    <t>Les parcelles de 2,5 ha situées sur la commune de Bretteville-sur-Ay ont eu des coupes de foin, une coupe par an représentant 3000€ de vente de foin par an. Ce montant a été déclaré à la PAC : montant en 2021 de 249,9 €/ha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</si>
</sst>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601.8943306586167</c:v>
                </c:pt>
                <c:pt idx="92">
                  <c:v>613.72799533010163</c:v>
                </c:pt>
                <c:pt idx="93">
                  <c:v>625.55692889431919</c:v>
                </c:pt>
                <c:pt idx="94">
                  <c:v>637.3812333927383</c:v>
                </c:pt>
                <c:pt idx="95">
                  <c:v>649.20100677344158</c:v>
                </c:pt>
                <c:pt idx="96">
                  <c:v>606.4756720002963</c:v>
                </c:pt>
                <c:pt idx="97">
                  <c:v>617.16268463508527</c:v>
                </c:pt>
                <c:pt idx="98">
                  <c:v>627.84586213083401</c:v>
                </c:pt>
                <c:pt idx="99">
                  <c:v>638.52527892770956</c:v>
                </c:pt>
                <c:pt idx="100">
                  <c:v>649.2010067734418</c:v>
                </c:pt>
                <c:pt idx="101">
                  <c:v>608.00262579276773</c:v>
                </c:pt>
                <c:pt idx="102">
                  <c:v>618.30749289907283</c:v>
                </c:pt>
                <c:pt idx="103">
                  <c:v>628.60880146856778</c:v>
                </c:pt>
                <c:pt idx="104">
                  <c:v>638.90661802503598</c:v>
                </c:pt>
                <c:pt idx="105">
                  <c:v>649.20100677344158</c:v>
                </c:pt>
                <c:pt idx="106">
                  <c:v>609.14778887966042</c:v>
                </c:pt>
                <c:pt idx="107">
                  <c:v>618.68908588691181</c:v>
                </c:pt>
                <c:pt idx="108">
                  <c:v>628.22733419630015</c:v>
                </c:pt>
                <c:pt idx="109">
                  <c:v>637.76258661477357</c:v>
                </c:pt>
                <c:pt idx="110">
                  <c:v>647.29489424172459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94746320"/>
        <c:axId val="-1094739248"/>
      </c:scatterChart>
      <c:valAx>
        <c:axId val="-10947463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94739248"/>
        <c:crosses val="autoZero"/>
        <c:crossBetween val="midCat"/>
      </c:valAx>
      <c:valAx>
        <c:axId val="-1094739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947463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14904400"/>
        <c:axId val="-914910384"/>
      </c:scatterChart>
      <c:valAx>
        <c:axId val="-9149044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14910384"/>
        <c:crosses val="autoZero"/>
        <c:crossBetween val="midCat"/>
      </c:valAx>
      <c:valAx>
        <c:axId val="-914910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149044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2.9824708137834541</c:v>
                </c:pt>
                <c:pt idx="2">
                  <c:v>3.6677102841368421</c:v>
                </c:pt>
                <c:pt idx="3">
                  <c:v>4.5109846579121706</c:v>
                </c:pt>
                <c:pt idx="4">
                  <c:v>5.5488709111756451</c:v>
                </c:pt>
                <c:pt idx="5">
                  <c:v>6.8264398240106265</c:v>
                </c:pt>
                <c:pt idx="6">
                  <c:v>8.3992344531589023</c:v>
                </c:pt>
                <c:pt idx="7">
                  <c:v>10.335710757094397</c:v>
                </c:pt>
                <c:pt idx="8">
                  <c:v>12.72024860757179</c:v>
                </c:pt>
                <c:pt idx="9">
                  <c:v>15.65686682940161</c:v>
                </c:pt>
                <c:pt idx="10">
                  <c:v>19.273807295064337</c:v>
                </c:pt>
                <c:pt idx="11">
                  <c:v>23.729191871622522</c:v>
                </c:pt>
                <c:pt idx="12">
                  <c:v>29.218003915697977</c:v>
                </c:pt>
                <c:pt idx="13">
                  <c:v>35.980705190831372</c:v>
                </c:pt>
                <c:pt idx="14">
                  <c:v>44.3138722017109</c:v>
                </c:pt>
                <c:pt idx="15">
                  <c:v>54.583326291850803</c:v>
                </c:pt>
                <c:pt idx="16">
                  <c:v>67.240343503402343</c:v>
                </c:pt>
                <c:pt idx="17">
                  <c:v>82.841668179859667</c:v>
                </c:pt>
                <c:pt idx="18">
                  <c:v>102.07422482410162</c:v>
                </c:pt>
                <c:pt idx="19">
                  <c:v>125.78563349650449</c:v>
                </c:pt>
                <c:pt idx="20">
                  <c:v>155.02189456174526</c:v>
                </c:pt>
                <c:pt idx="21">
                  <c:v>157.50460833109042</c:v>
                </c:pt>
                <c:pt idx="22">
                  <c:v>172.3819432826981</c:v>
                </c:pt>
                <c:pt idx="23">
                  <c:v>187.22907852355672</c:v>
                </c:pt>
                <c:pt idx="24">
                  <c:v>202.04874721849876</c:v>
                </c:pt>
                <c:pt idx="25">
                  <c:v>216.84324838446653</c:v>
                </c:pt>
                <c:pt idx="26">
                  <c:v>178.15925645679496</c:v>
                </c:pt>
                <c:pt idx="27">
                  <c:v>197.11175981045631</c:v>
                </c:pt>
                <c:pt idx="28">
                  <c:v>216.02195727183445</c:v>
                </c:pt>
                <c:pt idx="29">
                  <c:v>234.89407374203219</c:v>
                </c:pt>
                <c:pt idx="30">
                  <c:v>253.73159916616927</c:v>
                </c:pt>
                <c:pt idx="31">
                  <c:v>218.48561623496576</c:v>
                </c:pt>
                <c:pt idx="32">
                  <c:v>240.63075098232832</c:v>
                </c:pt>
                <c:pt idx="33">
                  <c:v>262.72949581077319</c:v>
                </c:pt>
                <c:pt idx="34">
                  <c:v>284.78630028501999</c:v>
                </c:pt>
                <c:pt idx="35">
                  <c:v>306.80486817387487</c:v>
                </c:pt>
                <c:pt idx="36">
                  <c:v>272.53746265331614</c:v>
                </c:pt>
                <c:pt idx="37">
                  <c:v>295.39240127979423</c:v>
                </c:pt>
                <c:pt idx="38">
                  <c:v>318.20790325308366</c:v>
                </c:pt>
                <c:pt idx="39">
                  <c:v>340.98719215689346</c:v>
                </c:pt>
                <c:pt idx="40">
                  <c:v>363.73302579033674</c:v>
                </c:pt>
                <c:pt idx="41">
                  <c:v>330.00865771394569</c:v>
                </c:pt>
                <c:pt idx="42">
                  <c:v>353.17646115055004</c:v>
                </c:pt>
                <c:pt idx="43">
                  <c:v>376.31096940375278</c:v>
                </c:pt>
                <c:pt idx="44">
                  <c:v>399.41451566222281</c:v>
                </c:pt>
                <c:pt idx="45">
                  <c:v>422.48914130810203</c:v>
                </c:pt>
                <c:pt idx="46">
                  <c:v>388.06913980682026</c:v>
                </c:pt>
                <c:pt idx="47">
                  <c:v>410.34809118885124</c:v>
                </c:pt>
                <c:pt idx="48">
                  <c:v>432.60093655053015</c:v>
                </c:pt>
                <c:pt idx="49">
                  <c:v>454.82920658695599</c:v>
                </c:pt>
                <c:pt idx="50">
                  <c:v>477.03427027689918</c:v>
                </c:pt>
                <c:pt idx="51">
                  <c:v>441.09091679699787</c:v>
                </c:pt>
                <c:pt idx="52">
                  <c:v>461.69500792288198</c:v>
                </c:pt>
                <c:pt idx="53">
                  <c:v>482.27948576072555</c:v>
                </c:pt>
                <c:pt idx="54">
                  <c:v>502.84530459139</c:v>
                </c:pt>
                <c:pt idx="55">
                  <c:v>523.39333432879232</c:v>
                </c:pt>
                <c:pt idx="56">
                  <c:v>485.9100779318423</c:v>
                </c:pt>
                <c:pt idx="57">
                  <c:v>504.86059041346829</c:v>
                </c:pt>
                <c:pt idx="58">
                  <c:v>523.79606451981545</c:v>
                </c:pt>
                <c:pt idx="59">
                  <c:v>542.71712003460118</c:v>
                </c:pt>
                <c:pt idx="60">
                  <c:v>561.62433003260401</c:v>
                </c:pt>
                <c:pt idx="61">
                  <c:v>522.99059760658679</c:v>
                </c:pt>
                <c:pt idx="62">
                  <c:v>540.70490958838275</c:v>
                </c:pt>
                <c:pt idx="63">
                  <c:v>558.40703591428917</c:v>
                </c:pt>
                <c:pt idx="64">
                  <c:v>576.09741701420523</c:v>
                </c:pt>
                <c:pt idx="65">
                  <c:v>593.77646408241537</c:v>
                </c:pt>
                <c:pt idx="66">
                  <c:v>553.98262212955512</c:v>
                </c:pt>
                <c:pt idx="67">
                  <c:v>570.46990784967431</c:v>
                </c:pt>
                <c:pt idx="68">
                  <c:v>586.94724165778496</c:v>
                </c:pt>
                <c:pt idx="69">
                  <c:v>603.41494210376152</c:v>
                </c:pt>
                <c:pt idx="70">
                  <c:v>619.87330894420177</c:v>
                </c:pt>
                <c:pt idx="71">
                  <c:v>578.91074057866138</c:v>
                </c:pt>
                <c:pt idx="72">
                  <c:v>594.17813194616588</c:v>
                </c:pt>
                <c:pt idx="73">
                  <c:v>609.43736326756471</c:v>
                </c:pt>
                <c:pt idx="74">
                  <c:v>624.68866751882376</c:v>
                </c:pt>
                <c:pt idx="75">
                  <c:v>639.93226537936846</c:v>
                </c:pt>
                <c:pt idx="76">
                  <c:v>598.19450053799278</c:v>
                </c:pt>
                <c:pt idx="77">
                  <c:v>612.64881534392646</c:v>
                </c:pt>
                <c:pt idx="78">
                  <c:v>627.096058227002</c:v>
                </c:pt>
                <c:pt idx="79">
                  <c:v>641.53641497722708</c:v>
                </c:pt>
                <c:pt idx="80">
                  <c:v>655.97006234354421</c:v>
                </c:pt>
                <c:pt idx="81">
                  <c:v>613.45162372006337</c:v>
                </c:pt>
                <c:pt idx="82">
                  <c:v>627.096058227002</c:v>
                </c:pt>
                <c:pt idx="83">
                  <c:v>640.73435054600839</c:v>
                </c:pt>
                <c:pt idx="84">
                  <c:v>654.36664977103601</c:v>
                </c:pt>
                <c:pt idx="85">
                  <c:v>667.99309828075729</c:v>
                </c:pt>
                <c:pt idx="86">
                  <c:v>624.68866751882376</c:v>
                </c:pt>
                <c:pt idx="87">
                  <c:v>637.52588516971218</c:v>
                </c:pt>
                <c:pt idx="88">
                  <c:v>650.35776359167301</c:v>
                </c:pt>
                <c:pt idx="89">
                  <c:v>663.18442292667987</c:v>
                </c:pt>
                <c:pt idx="90">
                  <c:v>676.00597829271317</c:v>
                </c:pt>
                <c:pt idx="91">
                  <c:v>632.31141640965473</c:v>
                </c:pt>
                <c:pt idx="92">
                  <c:v>644.74446593869322</c:v>
                </c:pt>
                <c:pt idx="93">
                  <c:v>657.17256877127193</c:v>
                </c:pt>
                <c:pt idx="94">
                  <c:v>669.59583159873046</c:v>
                </c:pt>
                <c:pt idx="95">
                  <c:v>682.01435683249304</c:v>
                </c:pt>
                <c:pt idx="96">
                  <c:v>637.12480357544507</c:v>
                </c:pt>
                <c:pt idx="97">
                  <c:v>648.35312961173247</c:v>
                </c:pt>
                <c:pt idx="98">
                  <c:v>659.57744574766491</c:v>
                </c:pt>
                <c:pt idx="99">
                  <c:v>670.79782981553114</c:v>
                </c:pt>
                <c:pt idx="100">
                  <c:v>682.01435683249326</c:v>
                </c:pt>
                <c:pt idx="101">
                  <c:v>638.72909868554518</c:v>
                </c:pt>
                <c:pt idx="102">
                  <c:v>649.55592531392324</c:v>
                </c:pt>
                <c:pt idx="103">
                  <c:v>660.37903124850902</c:v>
                </c:pt>
                <c:pt idx="104">
                  <c:v>671.19848604447077</c:v>
                </c:pt>
                <c:pt idx="105">
                  <c:v>682.01435683249304</c:v>
                </c:pt>
                <c:pt idx="106">
                  <c:v>639.932265379368</c:v>
                </c:pt>
                <c:pt idx="107">
                  <c:v>649.95684700277104</c:v>
                </c:pt>
                <c:pt idx="108">
                  <c:v>659.97824100389539</c:v>
                </c:pt>
                <c:pt idx="109">
                  <c:v>669.99650259602015</c:v>
                </c:pt>
                <c:pt idx="110">
                  <c:v>680.01168520705698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94750128"/>
        <c:axId val="-1094744688"/>
      </c:scatterChart>
      <c:valAx>
        <c:axId val="-10947501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94744688"/>
        <c:crosses val="autoZero"/>
        <c:crossBetween val="midCat"/>
      </c:valAx>
      <c:valAx>
        <c:axId val="-1094744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947501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3.0295791840646493</c:v>
                </c:pt>
                <c:pt idx="2">
                  <c:v>3.725679628308781</c:v>
                </c:pt>
                <c:pt idx="3">
                  <c:v>4.5823279764895188</c:v>
                </c:pt>
                <c:pt idx="4">
                  <c:v>5.6366846031435918</c:v>
                </c:pt>
                <c:pt idx="5">
                  <c:v>6.9345395434073795</c:v>
                </c:pt>
                <c:pt idx="6">
                  <c:v>8.5323226929264795</c:v>
                </c:pt>
                <c:pt idx="7">
                  <c:v>10.499583588970779</c:v>
                </c:pt>
                <c:pt idx="8">
                  <c:v>12.922050750342303</c:v>
                </c:pt>
                <c:pt idx="9">
                  <c:v>15.905406371467258</c:v>
                </c:pt>
                <c:pt idx="10">
                  <c:v>19.579944057664719</c:v>
                </c:pt>
                <c:pt idx="11">
                  <c:v>24.106316685632123</c:v>
                </c:pt>
                <c:pt idx="12">
                  <c:v>29.682630145368211</c:v>
                </c:pt>
                <c:pt idx="13">
                  <c:v>36.553198854731285</c:v>
                </c:pt>
                <c:pt idx="14">
                  <c:v>45.01935324011523</c:v>
                </c:pt>
                <c:pt idx="15">
                  <c:v>55.452781189967119</c:v>
                </c:pt>
                <c:pt idx="16">
                  <c:v>68.311998946117441</c:v>
                </c:pt>
                <c:pt idx="17">
                  <c:v>84.162687112704418</c:v>
                </c:pt>
                <c:pt idx="18">
                  <c:v>103.70280075437397</c:v>
                </c:pt>
                <c:pt idx="19">
                  <c:v>127.7935767402505</c:v>
                </c:pt>
                <c:pt idx="20">
                  <c:v>157.49782623325171</c:v>
                </c:pt>
                <c:pt idx="21">
                  <c:v>160.02029104347795</c:v>
                </c:pt>
                <c:pt idx="22">
                  <c:v>175.13585803907259</c:v>
                </c:pt>
                <c:pt idx="23">
                  <c:v>190.22078828852798</c:v>
                </c:pt>
                <c:pt idx="24">
                  <c:v>205.2778545096966</c:v>
                </c:pt>
                <c:pt idx="25">
                  <c:v>220.30938898976538</c:v>
                </c:pt>
                <c:pt idx="26">
                  <c:v>181.00569664728371</c:v>
                </c:pt>
                <c:pt idx="27">
                  <c:v>200.26177659150264</c:v>
                </c:pt>
                <c:pt idx="28">
                  <c:v>219.47493841333153</c:v>
                </c:pt>
                <c:pt idx="29">
                  <c:v>238.64946815456821</c:v>
                </c:pt>
                <c:pt idx="30">
                  <c:v>257.78890626510474</c:v>
                </c:pt>
                <c:pt idx="31">
                  <c:v>221.97807266554162</c:v>
                </c:pt>
                <c:pt idx="32">
                  <c:v>244.47808276569106</c:v>
                </c:pt>
                <c:pt idx="33">
                  <c:v>266.93103161478729</c:v>
                </c:pt>
                <c:pt idx="34">
                  <c:v>289.3414331694662</c:v>
                </c:pt>
                <c:pt idx="35">
                  <c:v>311.71304479765803</c:v>
                </c:pt>
                <c:pt idx="36">
                  <c:v>276.89622424264081</c:v>
                </c:pt>
                <c:pt idx="37">
                  <c:v>300.11758429718861</c:v>
                </c:pt>
                <c:pt idx="38">
                  <c:v>323.29893699066071</c:v>
                </c:pt>
                <c:pt idx="39">
                  <c:v>346.4435525568872</c:v>
                </c:pt>
                <c:pt idx="40">
                  <c:v>369.55422870449632</c:v>
                </c:pt>
                <c:pt idx="41">
                  <c:v>335.28894123596257</c:v>
                </c:pt>
                <c:pt idx="42">
                  <c:v>358.82833079757535</c:v>
                </c:pt>
                <c:pt idx="43">
                  <c:v>382.33394334423559</c:v>
                </c:pt>
                <c:pt idx="44">
                  <c:v>405.80814582937325</c:v>
                </c:pt>
                <c:pt idx="45">
                  <c:v>429.25300917701088</c:v>
                </c:pt>
                <c:pt idx="46">
                  <c:v>394.28074727616126</c:v>
                </c:pt>
                <c:pt idx="47">
                  <c:v>416.91714761061024</c:v>
                </c:pt>
                <c:pt idx="48">
                  <c:v>439.52706413119489</c:v>
                </c:pt>
                <c:pt idx="49">
                  <c:v>462.11204968448237</c:v>
                </c:pt>
                <c:pt idx="50">
                  <c:v>484.67349306043207</c:v>
                </c:pt>
                <c:pt idx="51">
                  <c:v>448.15328569496359</c:v>
                </c:pt>
                <c:pt idx="52">
                  <c:v>469.08803973384329</c:v>
                </c:pt>
                <c:pt idx="53">
                  <c:v>490.00289665080521</c:v>
                </c:pt>
                <c:pt idx="54">
                  <c:v>510.89882453659499</c:v>
                </c:pt>
                <c:pt idx="55">
                  <c:v>531.77670589409706</c:v>
                </c:pt>
                <c:pt idx="56">
                  <c:v>493.69176260852379</c:v>
                </c:pt>
                <c:pt idx="57">
                  <c:v>512.94645994076382</c:v>
                </c:pt>
                <c:pt idx="58">
                  <c:v>532.18590126973982</c:v>
                </c:pt>
                <c:pt idx="59">
                  <c:v>551.41071534837477</c:v>
                </c:pt>
                <c:pt idx="60">
                  <c:v>570.62148354470401</c:v>
                </c:pt>
                <c:pt idx="61">
                  <c:v>531.36750389275585</c:v>
                </c:pt>
                <c:pt idx="62">
                  <c:v>549.3661998253956</c:v>
                </c:pt>
                <c:pt idx="63">
                  <c:v>567.35253375731543</c:v>
                </c:pt>
                <c:pt idx="64">
                  <c:v>585.32695249209939</c:v>
                </c:pt>
                <c:pt idx="65">
                  <c:v>603.28987317463418</c:v>
                </c:pt>
                <c:pt idx="66">
                  <c:v>562.85708424728386</c:v>
                </c:pt>
                <c:pt idx="67">
                  <c:v>579.60908578354815</c:v>
                </c:pt>
                <c:pt idx="68">
                  <c:v>596.35099138861813</c:v>
                </c:pt>
                <c:pt idx="69">
                  <c:v>613.08312422226595</c:v>
                </c:pt>
                <c:pt idx="70">
                  <c:v>629.80578837901965</c:v>
                </c:pt>
                <c:pt idx="71">
                  <c:v>588.18544859108772</c:v>
                </c:pt>
                <c:pt idx="72">
                  <c:v>603.69799084952581</c:v>
                </c:pt>
                <c:pt idx="73">
                  <c:v>619.20225497367608</c:v>
                </c:pt>
                <c:pt idx="74">
                  <c:v>634.69847731101868</c:v>
                </c:pt>
                <c:pt idx="75">
                  <c:v>650.18688173454336</c:v>
                </c:pt>
                <c:pt idx="76">
                  <c:v>607.77885306593191</c:v>
                </c:pt>
                <c:pt idx="77">
                  <c:v>622.4652781759479</c:v>
                </c:pt>
                <c:pt idx="78">
                  <c:v>637.1445290217099</c:v>
                </c:pt>
                <c:pt idx="79">
                  <c:v>651.81679408188654</c:v>
                </c:pt>
                <c:pt idx="80">
                  <c:v>666.48225266324471</c:v>
                </c:pt>
                <c:pt idx="81">
                  <c:v>623.2809785427969</c:v>
                </c:pt>
                <c:pt idx="82">
                  <c:v>637.1445290217099</c:v>
                </c:pt>
                <c:pt idx="83">
                  <c:v>651.00184842596218</c:v>
                </c:pt>
                <c:pt idx="84">
                  <c:v>664.85308800712107</c:v>
                </c:pt>
                <c:pt idx="85">
                  <c:v>678.69839220429378</c:v>
                </c:pt>
                <c:pt idx="86">
                  <c:v>634.69847731101868</c:v>
                </c:pt>
                <c:pt idx="87">
                  <c:v>647.74185514581279</c:v>
                </c:pt>
                <c:pt idx="88">
                  <c:v>660.77981648497882</c:v>
                </c:pt>
                <c:pt idx="89">
                  <c:v>673.81248320912653</c:v>
                </c:pt>
                <c:pt idx="90">
                  <c:v>686.83997210216705</c:v>
                </c:pt>
                <c:pt idx="91">
                  <c:v>642.44364323070249</c:v>
                </c:pt>
                <c:pt idx="92">
                  <c:v>655.07636694999792</c:v>
                </c:pt>
                <c:pt idx="93">
                  <c:v>667.70407238667042</c:v>
                </c:pt>
                <c:pt idx="94">
                  <c:v>680.32686777604431</c:v>
                </c:pt>
                <c:pt idx="95">
                  <c:v>692.94485701159181</c:v>
                </c:pt>
                <c:pt idx="96">
                  <c:v>647.33433222460883</c:v>
                </c:pt>
                <c:pt idx="97">
                  <c:v>658.74298707117862</c:v>
                </c:pt>
                <c:pt idx="98">
                  <c:v>670.14757398808365</c:v>
                </c:pt>
                <c:pt idx="99">
                  <c:v>681.54817193396354</c:v>
                </c:pt>
                <c:pt idx="100">
                  <c:v>692.94485701159203</c:v>
                </c:pt>
                <c:pt idx="101">
                  <c:v>648.96439218997557</c:v>
                </c:pt>
                <c:pt idx="102">
                  <c:v>659.96510025530517</c:v>
                </c:pt>
                <c:pt idx="103">
                  <c:v>670.96203378278858</c:v>
                </c:pt>
                <c:pt idx="104">
                  <c:v>681.95526333416171</c:v>
                </c:pt>
                <c:pt idx="105">
                  <c:v>692.94485701159181</c:v>
                </c:pt>
                <c:pt idx="106">
                  <c:v>650.18688173454302</c:v>
                </c:pt>
                <c:pt idx="107">
                  <c:v>660.37246095701687</c:v>
                </c:pt>
                <c:pt idx="108">
                  <c:v>670.55480642750729</c:v>
                </c:pt>
                <c:pt idx="109">
                  <c:v>680.73397415831266</c:v>
                </c:pt>
                <c:pt idx="110">
                  <c:v>690.91001835052737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94745232"/>
        <c:axId val="-1094742512"/>
      </c:scatterChart>
      <c:valAx>
        <c:axId val="-10947452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94742512"/>
        <c:crosses val="autoZero"/>
        <c:crossBetween val="midCat"/>
      </c:valAx>
      <c:valAx>
        <c:axId val="-10947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947452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3.015643224062297</c:v>
                </c:pt>
                <c:pt idx="2">
                  <c:v>4.0722529948595438</c:v>
                </c:pt>
                <c:pt idx="3">
                  <c:v>5.5006018745362235</c:v>
                </c:pt>
                <c:pt idx="4">
                  <c:v>7.4319811827349751</c:v>
                </c:pt>
                <c:pt idx="5">
                  <c:v>10.044218170589504</c:v>
                </c:pt>
                <c:pt idx="6">
                  <c:v>13.578225113429147</c:v>
                </c:pt>
                <c:pt idx="7">
                  <c:v>18.360451404377937</c:v>
                </c:pt>
                <c:pt idx="8">
                  <c:v>24.83335003064289</c:v>
                </c:pt>
                <c:pt idx="9">
                  <c:v>33.596726896246878</c:v>
                </c:pt>
                <c:pt idx="10">
                  <c:v>45.463870615269634</c:v>
                </c:pt>
                <c:pt idx="11">
                  <c:v>61.537759614262761</c:v>
                </c:pt>
                <c:pt idx="12">
                  <c:v>83.314545972184078</c:v>
                </c:pt>
                <c:pt idx="13">
                  <c:v>112.82410282766058</c:v>
                </c:pt>
                <c:pt idx="14">
                  <c:v>152.8209413414541</c:v>
                </c:pt>
                <c:pt idx="15">
                  <c:v>207.04359025710687</c:v>
                </c:pt>
                <c:pt idx="16">
                  <c:v>173.3902523967221</c:v>
                </c:pt>
                <c:pt idx="17">
                  <c:v>204.02410382923904</c:v>
                </c:pt>
                <c:pt idx="18">
                  <c:v>234.55138491384039</c:v>
                </c:pt>
                <c:pt idx="19">
                  <c:v>264.98792439409294</c:v>
                </c:pt>
                <c:pt idx="20">
                  <c:v>295.34560890488154</c:v>
                </c:pt>
                <c:pt idx="21">
                  <c:v>231.16419524801108</c:v>
                </c:pt>
                <c:pt idx="22">
                  <c:v>260.85942671475175</c:v>
                </c:pt>
                <c:pt idx="23">
                  <c:v>290.47829302179076</c:v>
                </c:pt>
                <c:pt idx="24">
                  <c:v>320.0296714282502</c:v>
                </c:pt>
                <c:pt idx="25">
                  <c:v>349.52066488969609</c:v>
                </c:pt>
                <c:pt idx="26">
                  <c:v>279.98860279382774</c:v>
                </c:pt>
                <c:pt idx="27">
                  <c:v>307.69314288991126</c:v>
                </c:pt>
                <c:pt idx="28">
                  <c:v>335.34226803283252</c:v>
                </c:pt>
                <c:pt idx="29">
                  <c:v>362.94118566705487</c:v>
                </c:pt>
                <c:pt idx="30">
                  <c:v>390.4942467667251</c:v>
                </c:pt>
                <c:pt idx="31">
                  <c:v>320.77699701276782</c:v>
                </c:pt>
                <c:pt idx="32">
                  <c:v>346.16378539221347</c:v>
                </c:pt>
                <c:pt idx="33">
                  <c:v>371.50970211515977</c:v>
                </c:pt>
                <c:pt idx="34">
                  <c:v>396.81792522211208</c:v>
                </c:pt>
                <c:pt idx="35">
                  <c:v>422.09119450330428</c:v>
                </c:pt>
                <c:pt idx="36">
                  <c:v>353.99540526070876</c:v>
                </c:pt>
                <c:pt idx="37">
                  <c:v>377.09553671098365</c:v>
                </c:pt>
                <c:pt idx="38">
                  <c:v>400.16486874659694</c:v>
                </c:pt>
                <c:pt idx="39">
                  <c:v>423.20542522400024</c:v>
                </c:pt>
                <c:pt idx="40">
                  <c:v>446.21899178570402</c:v>
                </c:pt>
                <c:pt idx="41">
                  <c:v>383.05177541071242</c:v>
                </c:pt>
                <c:pt idx="42">
                  <c:v>403.51120632532326</c:v>
                </c:pt>
                <c:pt idx="43">
                  <c:v>423.9482106076091</c:v>
                </c:pt>
                <c:pt idx="44">
                  <c:v>444.36402075569362</c:v>
                </c:pt>
                <c:pt idx="45">
                  <c:v>464.75974684356021</c:v>
                </c:pt>
                <c:pt idx="46">
                  <c:v>406.48522456571527</c:v>
                </c:pt>
                <c:pt idx="47">
                  <c:v>424.31959279145235</c:v>
                </c:pt>
                <c:pt idx="48">
                  <c:v>442.1378364455868</c:v>
                </c:pt>
                <c:pt idx="49">
                  <c:v>459.94069650633202</c:v>
                </c:pt>
                <c:pt idx="50">
                  <c:v>477.72885193803239</c:v>
                </c:pt>
                <c:pt idx="51">
                  <c:v>425.06233617824211</c:v>
                </c:pt>
                <c:pt idx="52">
                  <c:v>441.02465426855338</c:v>
                </c:pt>
                <c:pt idx="53">
                  <c:v>456.97459194094745</c:v>
                </c:pt>
                <c:pt idx="54">
                  <c:v>472.91264200880101</c:v>
                </c:pt>
                <c:pt idx="55">
                  <c:v>488.83926137072331</c:v>
                </c:pt>
                <c:pt idx="56">
                  <c:v>1.4960899118586383E-12</c:v>
                </c:pt>
                <c:pt idx="57">
                  <c:v>1.4960899118586383E-12</c:v>
                </c:pt>
                <c:pt idx="58">
                  <c:v>1.4960899118586383E-12</c:v>
                </c:pt>
                <c:pt idx="59">
                  <c:v>1.4960899118586383E-12</c:v>
                </c:pt>
                <c:pt idx="60">
                  <c:v>1.4960899118586383E-12</c:v>
                </c:pt>
                <c:pt idx="61">
                  <c:v>1.4960899118586383E-12</c:v>
                </c:pt>
                <c:pt idx="62">
                  <c:v>1.4960899118586383E-12</c:v>
                </c:pt>
                <c:pt idx="63">
                  <c:v>1.4960899118586383E-12</c:v>
                </c:pt>
                <c:pt idx="64">
                  <c:v>1.4960899118586383E-12</c:v>
                </c:pt>
                <c:pt idx="65">
                  <c:v>1.4960899118586383E-12</c:v>
                </c:pt>
                <c:pt idx="66">
                  <c:v>1.4960899118586383E-12</c:v>
                </c:pt>
                <c:pt idx="67">
                  <c:v>1.4960899118586383E-12</c:v>
                </c:pt>
                <c:pt idx="68">
                  <c:v>1.4960899118586383E-12</c:v>
                </c:pt>
                <c:pt idx="69">
                  <c:v>1.4960899118586383E-12</c:v>
                </c:pt>
                <c:pt idx="70">
                  <c:v>1.4960899118586383E-12</c:v>
                </c:pt>
                <c:pt idx="71">
                  <c:v>1.4960899118586383E-12</c:v>
                </c:pt>
                <c:pt idx="72">
                  <c:v>1.4960899118586383E-12</c:v>
                </c:pt>
                <c:pt idx="73">
                  <c:v>1.4960899118586383E-12</c:v>
                </c:pt>
                <c:pt idx="74">
                  <c:v>1.4960899118586383E-12</c:v>
                </c:pt>
                <c:pt idx="75">
                  <c:v>1.4960899118586383E-12</c:v>
                </c:pt>
                <c:pt idx="76">
                  <c:v>1.4960899118586383E-12</c:v>
                </c:pt>
                <c:pt idx="77">
                  <c:v>1.4960899118586383E-12</c:v>
                </c:pt>
                <c:pt idx="78">
                  <c:v>1.4960899118586383E-12</c:v>
                </c:pt>
                <c:pt idx="79">
                  <c:v>1.4960899118586383E-12</c:v>
                </c:pt>
                <c:pt idx="80">
                  <c:v>1.4960899118586383E-12</c:v>
                </c:pt>
                <c:pt idx="81">
                  <c:v>1.4960899118586383E-12</c:v>
                </c:pt>
                <c:pt idx="82">
                  <c:v>1.4960899118586383E-12</c:v>
                </c:pt>
                <c:pt idx="83">
                  <c:v>1.4960899118586383E-12</c:v>
                </c:pt>
                <c:pt idx="84">
                  <c:v>1.4960899118586383E-12</c:v>
                </c:pt>
                <c:pt idx="85">
                  <c:v>1.4960899118586383E-12</c:v>
                </c:pt>
                <c:pt idx="86">
                  <c:v>1.4960899118586383E-12</c:v>
                </c:pt>
                <c:pt idx="87">
                  <c:v>1.4960899118586383E-12</c:v>
                </c:pt>
                <c:pt idx="88">
                  <c:v>1.4960899118586383E-12</c:v>
                </c:pt>
                <c:pt idx="89">
                  <c:v>1.4960899118586383E-12</c:v>
                </c:pt>
                <c:pt idx="90">
                  <c:v>1.4960899118586383E-12</c:v>
                </c:pt>
                <c:pt idx="91">
                  <c:v>1.4960899118586383E-12</c:v>
                </c:pt>
                <c:pt idx="92">
                  <c:v>1.4960899118586383E-12</c:v>
                </c:pt>
                <c:pt idx="93">
                  <c:v>1.4960899118586383E-12</c:v>
                </c:pt>
                <c:pt idx="94">
                  <c:v>1.4960899118586383E-12</c:v>
                </c:pt>
                <c:pt idx="95">
                  <c:v>1.4960899118586383E-12</c:v>
                </c:pt>
                <c:pt idx="96">
                  <c:v>1.4960899118586383E-12</c:v>
                </c:pt>
                <c:pt idx="97">
                  <c:v>1.4960899118586383E-12</c:v>
                </c:pt>
                <c:pt idx="98">
                  <c:v>1.4960899118586383E-12</c:v>
                </c:pt>
                <c:pt idx="99">
                  <c:v>1.4960899118586383E-12</c:v>
                </c:pt>
                <c:pt idx="100">
                  <c:v>1.4960899118586383E-12</c:v>
                </c:pt>
                <c:pt idx="101">
                  <c:v>1.4960899118586383E-12</c:v>
                </c:pt>
                <c:pt idx="102">
                  <c:v>1.4960899118586383E-12</c:v>
                </c:pt>
                <c:pt idx="103">
                  <c:v>1.4960899118586383E-12</c:v>
                </c:pt>
                <c:pt idx="104">
                  <c:v>1.4960899118586383E-12</c:v>
                </c:pt>
                <c:pt idx="105">
                  <c:v>1.4960899118586383E-12</c:v>
                </c:pt>
                <c:pt idx="106">
                  <c:v>1.4960899118586383E-12</c:v>
                </c:pt>
                <c:pt idx="107">
                  <c:v>1.4960899118586383E-12</c:v>
                </c:pt>
                <c:pt idx="108">
                  <c:v>1.4960899118586383E-12</c:v>
                </c:pt>
                <c:pt idx="109">
                  <c:v>1.4960899118586383E-12</c:v>
                </c:pt>
                <c:pt idx="110">
                  <c:v>1.4960899118586383E-12</c:v>
                </c:pt>
                <c:pt idx="111">
                  <c:v>1.4960899118586383E-12</c:v>
                </c:pt>
                <c:pt idx="112">
                  <c:v>1.4960899118586383E-12</c:v>
                </c:pt>
                <c:pt idx="113">
                  <c:v>1.4960899118586383E-12</c:v>
                </c:pt>
                <c:pt idx="114">
                  <c:v>1.4960899118586383E-12</c:v>
                </c:pt>
                <c:pt idx="115">
                  <c:v>1.4960899118586383E-12</c:v>
                </c:pt>
                <c:pt idx="116">
                  <c:v>1.4960899118586383E-12</c:v>
                </c:pt>
                <c:pt idx="117">
                  <c:v>1.4960899118586383E-12</c:v>
                </c:pt>
                <c:pt idx="118">
                  <c:v>1.4960899118586383E-12</c:v>
                </c:pt>
                <c:pt idx="119">
                  <c:v>1.4960899118586383E-12</c:v>
                </c:pt>
                <c:pt idx="120">
                  <c:v>1.4960899118586383E-12</c:v>
                </c:pt>
                <c:pt idx="121">
                  <c:v>1.4960899118586383E-12</c:v>
                </c:pt>
                <c:pt idx="122">
                  <c:v>1.4960899118586383E-12</c:v>
                </c:pt>
                <c:pt idx="123">
                  <c:v>1.4960899118586383E-12</c:v>
                </c:pt>
                <c:pt idx="124">
                  <c:v>1.4960899118586383E-12</c:v>
                </c:pt>
                <c:pt idx="125">
                  <c:v>1.4960899118586383E-12</c:v>
                </c:pt>
                <c:pt idx="126">
                  <c:v>1.4960899118586383E-12</c:v>
                </c:pt>
                <c:pt idx="127">
                  <c:v>1.4960899118586383E-12</c:v>
                </c:pt>
                <c:pt idx="128">
                  <c:v>1.4960899118586383E-12</c:v>
                </c:pt>
                <c:pt idx="129">
                  <c:v>1.4960899118586383E-12</c:v>
                </c:pt>
                <c:pt idx="130">
                  <c:v>1.4960899118586383E-12</c:v>
                </c:pt>
                <c:pt idx="131">
                  <c:v>1.4960899118586383E-12</c:v>
                </c:pt>
                <c:pt idx="132">
                  <c:v>1.4960899118586383E-12</c:v>
                </c:pt>
                <c:pt idx="133">
                  <c:v>1.4960899118586383E-12</c:v>
                </c:pt>
                <c:pt idx="134">
                  <c:v>1.4960899118586383E-12</c:v>
                </c:pt>
                <c:pt idx="135">
                  <c:v>1.4960899118586383E-12</c:v>
                </c:pt>
                <c:pt idx="136">
                  <c:v>1.4960899118586383E-12</c:v>
                </c:pt>
                <c:pt idx="137">
                  <c:v>1.4960899118586383E-12</c:v>
                </c:pt>
                <c:pt idx="138">
                  <c:v>1.4960899118586383E-12</c:v>
                </c:pt>
                <c:pt idx="139">
                  <c:v>1.4960899118586383E-12</c:v>
                </c:pt>
                <c:pt idx="140">
                  <c:v>1.4960899118586383E-12</c:v>
                </c:pt>
                <c:pt idx="141">
                  <c:v>1.4960899118586383E-12</c:v>
                </c:pt>
                <c:pt idx="142">
                  <c:v>1.4960899118586383E-12</c:v>
                </c:pt>
                <c:pt idx="143">
                  <c:v>1.4960899118586383E-12</c:v>
                </c:pt>
                <c:pt idx="144">
                  <c:v>1.4960899118586383E-12</c:v>
                </c:pt>
                <c:pt idx="145">
                  <c:v>1.4960899118586383E-12</c:v>
                </c:pt>
                <c:pt idx="146">
                  <c:v>1.4960899118586383E-12</c:v>
                </c:pt>
                <c:pt idx="147">
                  <c:v>1.4960899118586383E-12</c:v>
                </c:pt>
                <c:pt idx="148">
                  <c:v>1.4960899118586383E-12</c:v>
                </c:pt>
                <c:pt idx="149">
                  <c:v>1.4960899118586383E-12</c:v>
                </c:pt>
                <c:pt idx="150">
                  <c:v>1.4960899118586383E-12</c:v>
                </c:pt>
                <c:pt idx="151">
                  <c:v>1.4960899118586383E-12</c:v>
                </c:pt>
                <c:pt idx="152">
                  <c:v>1.4960899118586383E-12</c:v>
                </c:pt>
                <c:pt idx="153">
                  <c:v>1.4960899118586383E-12</c:v>
                </c:pt>
                <c:pt idx="154">
                  <c:v>1.4960899118586383E-12</c:v>
                </c:pt>
                <c:pt idx="155">
                  <c:v>1.4960899118586383E-12</c:v>
                </c:pt>
                <c:pt idx="156">
                  <c:v>1.4960899118586383E-12</c:v>
                </c:pt>
                <c:pt idx="157">
                  <c:v>1.4960899118586383E-12</c:v>
                </c:pt>
                <c:pt idx="158">
                  <c:v>1.4960899118586383E-12</c:v>
                </c:pt>
                <c:pt idx="159">
                  <c:v>1.4960899118586383E-12</c:v>
                </c:pt>
                <c:pt idx="160">
                  <c:v>1.4960899118586383E-12</c:v>
                </c:pt>
                <c:pt idx="161">
                  <c:v>1.4960899118586383E-12</c:v>
                </c:pt>
                <c:pt idx="162">
                  <c:v>1.4960899118586383E-12</c:v>
                </c:pt>
                <c:pt idx="163">
                  <c:v>1.4960899118586383E-12</c:v>
                </c:pt>
                <c:pt idx="164">
                  <c:v>1.4960899118586383E-12</c:v>
                </c:pt>
                <c:pt idx="165">
                  <c:v>1.4960899118586383E-12</c:v>
                </c:pt>
                <c:pt idx="166">
                  <c:v>1.4960899118586383E-12</c:v>
                </c:pt>
                <c:pt idx="167">
                  <c:v>1.4960899118586383E-12</c:v>
                </c:pt>
                <c:pt idx="168">
                  <c:v>1.4960899118586383E-12</c:v>
                </c:pt>
                <c:pt idx="169">
                  <c:v>1.4960899118586383E-12</c:v>
                </c:pt>
                <c:pt idx="170">
                  <c:v>1.4960899118586383E-12</c:v>
                </c:pt>
                <c:pt idx="171">
                  <c:v>1.4960899118586383E-12</c:v>
                </c:pt>
                <c:pt idx="172">
                  <c:v>1.4960899118586383E-12</c:v>
                </c:pt>
                <c:pt idx="173">
                  <c:v>1.4960899118586383E-12</c:v>
                </c:pt>
                <c:pt idx="174">
                  <c:v>1.4960899118586383E-12</c:v>
                </c:pt>
                <c:pt idx="175">
                  <c:v>1.4960899118586383E-12</c:v>
                </c:pt>
                <c:pt idx="176">
                  <c:v>1.4960899118586383E-12</c:v>
                </c:pt>
                <c:pt idx="177">
                  <c:v>1.4960899118586383E-12</c:v>
                </c:pt>
                <c:pt idx="178">
                  <c:v>1.4960899118586383E-12</c:v>
                </c:pt>
                <c:pt idx="179">
                  <c:v>1.4960899118586383E-12</c:v>
                </c:pt>
                <c:pt idx="180">
                  <c:v>1.4960899118586383E-12</c:v>
                </c:pt>
                <c:pt idx="181">
                  <c:v>1.4960899118586383E-12</c:v>
                </c:pt>
                <c:pt idx="182">
                  <c:v>1.4960899118586383E-12</c:v>
                </c:pt>
                <c:pt idx="183">
                  <c:v>1.4960899118586383E-12</c:v>
                </c:pt>
                <c:pt idx="184">
                  <c:v>1.4960899118586383E-12</c:v>
                </c:pt>
                <c:pt idx="185">
                  <c:v>1.4960899118586383E-12</c:v>
                </c:pt>
                <c:pt idx="186">
                  <c:v>1.4960899118586383E-12</c:v>
                </c:pt>
                <c:pt idx="187">
                  <c:v>1.4960899118586383E-12</c:v>
                </c:pt>
                <c:pt idx="188">
                  <c:v>1.4960899118586383E-12</c:v>
                </c:pt>
                <c:pt idx="189">
                  <c:v>1.4960899118586383E-12</c:v>
                </c:pt>
                <c:pt idx="190">
                  <c:v>1.4960899118586383E-12</c:v>
                </c:pt>
                <c:pt idx="191">
                  <c:v>1.4960899118586383E-12</c:v>
                </c:pt>
                <c:pt idx="192">
                  <c:v>1.4960899118586383E-12</c:v>
                </c:pt>
                <c:pt idx="193">
                  <c:v>1.4960899118586383E-12</c:v>
                </c:pt>
                <c:pt idx="194">
                  <c:v>1.4960899118586383E-12</c:v>
                </c:pt>
                <c:pt idx="195">
                  <c:v>1.4960899118586383E-12</c:v>
                </c:pt>
                <c:pt idx="196">
                  <c:v>1.4960899118586383E-12</c:v>
                </c:pt>
                <c:pt idx="197">
                  <c:v>1.4960899118586383E-12</c:v>
                </c:pt>
                <c:pt idx="198">
                  <c:v>1.4960899118586383E-12</c:v>
                </c:pt>
                <c:pt idx="199">
                  <c:v>1.4960899118586383E-12</c:v>
                </c:pt>
                <c:pt idx="200">
                  <c:v>1.4960899118586383E-12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94741968"/>
        <c:axId val="-1094743600"/>
      </c:scatterChart>
      <c:valAx>
        <c:axId val="-10947419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94743600"/>
        <c:crosses val="autoZero"/>
        <c:crossBetween val="midCat"/>
      </c:valAx>
      <c:valAx>
        <c:axId val="-1094743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947419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3.218392628770399</c:v>
                </c:pt>
                <c:pt idx="2">
                  <c:v>4.4843977701134472</c:v>
                </c:pt>
                <c:pt idx="3">
                  <c:v>6.2505127109860723</c:v>
                </c:pt>
                <c:pt idx="4">
                  <c:v>8.7150765351974329</c:v>
                </c:pt>
                <c:pt idx="5">
                  <c:v>12.155375978135757</c:v>
                </c:pt>
                <c:pt idx="6">
                  <c:v>16.959175969297927</c:v>
                </c:pt>
                <c:pt idx="7">
                  <c:v>23.668881805153791</c:v>
                </c:pt>
                <c:pt idx="8">
                  <c:v>33.043407540824319</c:v>
                </c:pt>
                <c:pt idx="9">
                  <c:v>46.144868989425383</c:v>
                </c:pt>
                <c:pt idx="10">
                  <c:v>64.460088532532765</c:v>
                </c:pt>
                <c:pt idx="11">
                  <c:v>90.07092648160517</c:v>
                </c:pt>
                <c:pt idx="12">
                  <c:v>125.89310892067721</c:v>
                </c:pt>
                <c:pt idx="13">
                  <c:v>176.01116384606789</c:v>
                </c:pt>
                <c:pt idx="14">
                  <c:v>246.14823233985865</c:v>
                </c:pt>
                <c:pt idx="15">
                  <c:v>344.32519168762161</c:v>
                </c:pt>
                <c:pt idx="16">
                  <c:v>258.28507230454863</c:v>
                </c:pt>
                <c:pt idx="17">
                  <c:v>282.75904421972086</c:v>
                </c:pt>
                <c:pt idx="18">
                  <c:v>307.18556432776853</c:v>
                </c:pt>
                <c:pt idx="19">
                  <c:v>331.56893409573678</c:v>
                </c:pt>
                <c:pt idx="20">
                  <c:v>355.91277070439497</c:v>
                </c:pt>
                <c:pt idx="21">
                  <c:v>341.23373557401311</c:v>
                </c:pt>
                <c:pt idx="22">
                  <c:v>361.31746248867267</c:v>
                </c:pt>
                <c:pt idx="23">
                  <c:v>381.37678831502052</c:v>
                </c:pt>
                <c:pt idx="24">
                  <c:v>401.41317632821421</c:v>
                </c:pt>
                <c:pt idx="25">
                  <c:v>421.42793186976093</c:v>
                </c:pt>
                <c:pt idx="26">
                  <c:v>411.03827995947972</c:v>
                </c:pt>
                <c:pt idx="27">
                  <c:v>427.58215058986383</c:v>
                </c:pt>
                <c:pt idx="28">
                  <c:v>444.11226191866245</c:v>
                </c:pt>
                <c:pt idx="29">
                  <c:v>460.62919798538474</c:v>
                </c:pt>
                <c:pt idx="30">
                  <c:v>477.13349754486762</c:v>
                </c:pt>
                <c:pt idx="31">
                  <c:v>469.45861841140714</c:v>
                </c:pt>
                <c:pt idx="32">
                  <c:v>482.88793138455003</c:v>
                </c:pt>
                <c:pt idx="33">
                  <c:v>496.30931275327697</c:v>
                </c:pt>
                <c:pt idx="34">
                  <c:v>509.72300718239177</c:v>
                </c:pt>
                <c:pt idx="35">
                  <c:v>523.12924541243819</c:v>
                </c:pt>
                <c:pt idx="36">
                  <c:v>517.76763064124987</c:v>
                </c:pt>
                <c:pt idx="37">
                  <c:v>529.6382221432558</c:v>
                </c:pt>
                <c:pt idx="38">
                  <c:v>541.50321514452014</c:v>
                </c:pt>
                <c:pt idx="39">
                  <c:v>553.36274958383854</c:v>
                </c:pt>
                <c:pt idx="40">
                  <c:v>565.21695891368074</c:v>
                </c:pt>
                <c:pt idx="41">
                  <c:v>563.30534449457025</c:v>
                </c:pt>
                <c:pt idx="42">
                  <c:v>574.77301329675208</c:v>
                </c:pt>
                <c:pt idx="43">
                  <c:v>586.23590668718805</c:v>
                </c:pt>
                <c:pt idx="44">
                  <c:v>597.6941311815882</c:v>
                </c:pt>
                <c:pt idx="45">
                  <c:v>609.14778887966042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94743056"/>
        <c:axId val="-1094740336"/>
      </c:scatterChart>
      <c:valAx>
        <c:axId val="-109474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94740336"/>
        <c:crosses val="autoZero"/>
        <c:crossBetween val="midCat"/>
      </c:valAx>
      <c:valAx>
        <c:axId val="-1094740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9474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2.5098904237049955</c:v>
                </c:pt>
                <c:pt idx="2">
                  <c:v>3.0862077836809849</c:v>
                </c:pt>
                <c:pt idx="3">
                  <c:v>3.7953648473271833</c:v>
                </c:pt>
                <c:pt idx="4">
                  <c:v>4.6680909993312927</c:v>
                </c:pt>
                <c:pt idx="5">
                  <c:v>5.7422480227438051</c:v>
                </c:pt>
                <c:pt idx="6">
                  <c:v>7.0644907062395532</c:v>
                </c:pt>
                <c:pt idx="7">
                  <c:v>8.6923151923801765</c:v>
                </c:pt>
                <c:pt idx="8">
                  <c:v>10.696585839654327</c:v>
                </c:pt>
                <c:pt idx="9">
                  <c:v>13.164652672443362</c:v>
                </c:pt>
                <c:pt idx="10">
                  <c:v>16.204197804006608</c:v>
                </c:pt>
                <c:pt idx="11">
                  <c:v>19.947981718543478</c:v>
                </c:pt>
                <c:pt idx="12">
                  <c:v>24.559700448456422</c:v>
                </c:pt>
                <c:pt idx="13">
                  <c:v>30.241214285721536</c:v>
                </c:pt>
                <c:pt idx="14">
                  <c:v>37.241469951384218</c:v>
                </c:pt>
                <c:pt idx="15">
                  <c:v>45.867513871021259</c:v>
                </c:pt>
                <c:pt idx="16">
                  <c:v>56.498087774344974</c:v>
                </c:pt>
                <c:pt idx="17">
                  <c:v>69.600413467351657</c:v>
                </c:pt>
                <c:pt idx="18">
                  <c:v>85.750916525208666</c:v>
                </c:pt>
                <c:pt idx="19">
                  <c:v>105.66081526530797</c:v>
                </c:pt>
                <c:pt idx="20">
                  <c:v>130.2077196485063</c:v>
                </c:pt>
                <c:pt idx="21">
                  <c:v>132.29212695516597</c:v>
                </c:pt>
                <c:pt idx="22">
                  <c:v>144.78239568482772</c:v>
                </c:pt>
                <c:pt idx="23">
                  <c:v>157.24688373565013</c:v>
                </c:pt>
                <c:pt idx="24">
                  <c:v>169.68792433676063</c:v>
                </c:pt>
                <c:pt idx="25">
                  <c:v>182.10748009693816</c:v>
                </c:pt>
                <c:pt idx="26">
                  <c:v>149.63262234192356</c:v>
                </c:pt>
                <c:pt idx="27">
                  <c:v>165.54338829618902</c:v>
                </c:pt>
                <c:pt idx="28">
                  <c:v>181.41803885083925</c:v>
                </c:pt>
                <c:pt idx="29">
                  <c:v>197.26018069003644</c:v>
                </c:pt>
                <c:pt idx="30">
                  <c:v>213.07279308583517</c:v>
                </c:pt>
                <c:pt idx="31">
                  <c:v>183.48617958317882</c:v>
                </c:pt>
                <c:pt idx="32">
                  <c:v>202.07571754604899</c:v>
                </c:pt>
                <c:pt idx="33">
                  <c:v>220.62565368587721</c:v>
                </c:pt>
                <c:pt idx="34">
                  <c:v>239.13978647609801</c:v>
                </c:pt>
                <c:pt idx="35">
                  <c:v>257.62127772428232</c:v>
                </c:pt>
                <c:pt idx="36">
                  <c:v>228.85837653967636</c:v>
                </c:pt>
                <c:pt idx="37">
                  <c:v>248.04218210324635</c:v>
                </c:pt>
                <c:pt idx="38">
                  <c:v>267.1923216592574</c:v>
                </c:pt>
                <c:pt idx="39">
                  <c:v>286.3115470942094</c:v>
                </c:pt>
                <c:pt idx="40">
                  <c:v>305.40221266685131</c:v>
                </c:pt>
                <c:pt idx="41">
                  <c:v>277.09705149048028</c:v>
                </c:pt>
                <c:pt idx="42">
                  <c:v>296.5421048903853</c:v>
                </c:pt>
                <c:pt idx="43">
                  <c:v>315.9587350899057</c:v>
                </c:pt>
                <c:pt idx="44">
                  <c:v>335.34893386930241</c:v>
                </c:pt>
                <c:pt idx="45">
                  <c:v>354.71444390147082</c:v>
                </c:pt>
                <c:pt idx="46">
                  <c:v>325.82711205911602</c:v>
                </c:pt>
                <c:pt idx="47">
                  <c:v>344.52504925832596</c:v>
                </c:pt>
                <c:pt idx="48">
                  <c:v>363.2007004518166</c:v>
                </c:pt>
                <c:pt idx="49">
                  <c:v>381.85537235272437</c:v>
                </c:pt>
                <c:pt idx="50">
                  <c:v>400.49023362131589</c:v>
                </c:pt>
                <c:pt idx="51">
                  <c:v>370.32580293370728</c:v>
                </c:pt>
                <c:pt idx="52">
                  <c:v>387.61730275601644</c:v>
                </c:pt>
                <c:pt idx="53">
                  <c:v>404.89205924312733</c:v>
                </c:pt>
                <c:pt idx="54">
                  <c:v>422.1508870388829</c:v>
                </c:pt>
                <c:pt idx="55">
                  <c:v>439.39452876533977</c:v>
                </c:pt>
                <c:pt idx="56">
                  <c:v>407.93887014257689</c:v>
                </c:pt>
                <c:pt idx="57">
                  <c:v>423.84210012627227</c:v>
                </c:pt>
                <c:pt idx="58">
                  <c:v>439.73249225444806</c:v>
                </c:pt>
                <c:pt idx="59">
                  <c:v>455.61057561975349</c:v>
                </c:pt>
                <c:pt idx="60">
                  <c:v>471.4768394406762</c:v>
                </c:pt>
                <c:pt idx="61">
                  <c:v>439.05655970073713</c:v>
                </c:pt>
                <c:pt idx="62">
                  <c:v>453.92198789781924</c:v>
                </c:pt>
                <c:pt idx="63">
                  <c:v>468.77701352901107</c:v>
                </c:pt>
                <c:pt idx="64">
                  <c:v>483.62201257744277</c:v>
                </c:pt>
                <c:pt idx="65">
                  <c:v>498.45733606858886</c:v>
                </c:pt>
                <c:pt idx="66">
                  <c:v>465.06421135415479</c:v>
                </c:pt>
                <c:pt idx="67">
                  <c:v>478.89966956438479</c:v>
                </c:pt>
                <c:pt idx="68">
                  <c:v>492.72663209565059</c:v>
                </c:pt>
                <c:pt idx="69">
                  <c:v>506.54537088539155</c:v>
                </c:pt>
                <c:pt idx="70">
                  <c:v>520.35614182773361</c:v>
                </c:pt>
                <c:pt idx="71">
                  <c:v>485.98281613568906</c:v>
                </c:pt>
                <c:pt idx="72">
                  <c:v>498.79439267754645</c:v>
                </c:pt>
                <c:pt idx="73">
                  <c:v>511.59900320804996</c:v>
                </c:pt>
                <c:pt idx="74">
                  <c:v>524.3968466125001</c:v>
                </c:pt>
                <c:pt idx="75">
                  <c:v>537.188111278973</c:v>
                </c:pt>
                <c:pt idx="76">
                  <c:v>502.16469408948575</c:v>
                </c:pt>
                <c:pt idx="77">
                  <c:v>514.29384192600958</c:v>
                </c:pt>
                <c:pt idx="78">
                  <c:v>526.41695265265855</c:v>
                </c:pt>
                <c:pt idx="79">
                  <c:v>538.53418487335273</c:v>
                </c:pt>
                <c:pt idx="80">
                  <c:v>550.64568947389932</c:v>
                </c:pt>
                <c:pt idx="81">
                  <c:v>514.96750495828348</c:v>
                </c:pt>
                <c:pt idx="82">
                  <c:v>526.41695265265855</c:v>
                </c:pt>
                <c:pt idx="83">
                  <c:v>537.86115692679789</c:v>
                </c:pt>
                <c:pt idx="84">
                  <c:v>549.30024505818972</c:v>
                </c:pt>
                <c:pt idx="85">
                  <c:v>560.73433859166846</c:v>
                </c:pt>
                <c:pt idx="86">
                  <c:v>524.3968466125001</c:v>
                </c:pt>
                <c:pt idx="87">
                  <c:v>535.16886787415854</c:v>
                </c:pt>
                <c:pt idx="88">
                  <c:v>545.93633118003436</c:v>
                </c:pt>
                <c:pt idx="89">
                  <c:v>556.69933909209158</c:v>
                </c:pt>
                <c:pt idx="90">
                  <c:v>567.45798988344666</c:v>
                </c:pt>
                <c:pt idx="91">
                  <c:v>530.79328990145325</c:v>
                </c:pt>
                <c:pt idx="92">
                  <c:v>541.22612015122502</c:v>
                </c:pt>
                <c:pt idx="93">
                  <c:v>551.65472753959887</c:v>
                </c:pt>
                <c:pt idx="94">
                  <c:v>562.0792031460951</c:v>
                </c:pt>
                <c:pt idx="95">
                  <c:v>572.49963439658529</c:v>
                </c:pt>
                <c:pt idx="96">
                  <c:v>534.83231174765194</c:v>
                </c:pt>
                <c:pt idx="97">
                  <c:v>544.25421128308938</c:v>
                </c:pt>
                <c:pt idx="98">
                  <c:v>553.67268767470557</c:v>
                </c:pt>
                <c:pt idx="99">
                  <c:v>563.08780736582833</c:v>
                </c:pt>
                <c:pt idx="100">
                  <c:v>572.49963439658552</c:v>
                </c:pt>
                <c:pt idx="101">
                  <c:v>536.17850956190955</c:v>
                </c:pt>
                <c:pt idx="102">
                  <c:v>545.26349629459867</c:v>
                </c:pt>
                <c:pt idx="103">
                  <c:v>554.34530677131249</c:v>
                </c:pt>
                <c:pt idx="104">
                  <c:v>563.42400036942274</c:v>
                </c:pt>
                <c:pt idx="105">
                  <c:v>572.49963439658529</c:v>
                </c:pt>
                <c:pt idx="106">
                  <c:v>537.18811127897277</c:v>
                </c:pt>
                <c:pt idx="107">
                  <c:v>545.59991591415962</c:v>
                </c:pt>
                <c:pt idx="108">
                  <c:v>554.00899936215012</c:v>
                </c:pt>
                <c:pt idx="109">
                  <c:v>562.41540875703197</c:v>
                </c:pt>
                <c:pt idx="110">
                  <c:v>570.8191897087728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94754480"/>
        <c:axId val="-1094753936"/>
      </c:scatterChart>
      <c:valAx>
        <c:axId val="-10947544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94753936"/>
        <c:crosses val="autoZero"/>
        <c:crossBetween val="midCat"/>
      </c:valAx>
      <c:valAx>
        <c:axId val="-1094753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947544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94753392"/>
        <c:axId val="-914908208"/>
      </c:scatterChart>
      <c:valAx>
        <c:axId val="-10947533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14908208"/>
        <c:crosses val="autoZero"/>
        <c:crossBetween val="midCat"/>
      </c:valAx>
      <c:valAx>
        <c:axId val="-914908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947533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14907664"/>
        <c:axId val="-914904944"/>
      </c:scatterChart>
      <c:valAx>
        <c:axId val="-914907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14904944"/>
        <c:crosses val="autoZero"/>
        <c:crossBetween val="midCat"/>
      </c:valAx>
      <c:valAx>
        <c:axId val="-914904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14907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14911472"/>
        <c:axId val="-914905488"/>
      </c:scatterChart>
      <c:valAx>
        <c:axId val="-9149114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14905488"/>
        <c:crosses val="autoZero"/>
        <c:crossBetween val="midCat"/>
      </c:valAx>
      <c:valAx>
        <c:axId val="-91490548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149114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77734375" customWidth="1"/>
    <col min="2" max="13" width="15.777343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90" zoomScaleNormal="90" workbookViewId="0">
      <selection activeCell="L42" sqref="L42"/>
    </sheetView>
  </sheetViews>
  <sheetFormatPr baseColWidth="10" defaultColWidth="11.44140625" defaultRowHeight="14.4" x14ac:dyDescent="0.3"/>
  <cols>
    <col min="1" max="1" width="13.77734375" style="25" customWidth="1"/>
    <col min="2" max="2" width="36.21875" style="25" customWidth="1"/>
    <col min="3" max="3" width="14.77734375" style="25" bestFit="1" customWidth="1"/>
    <col min="4" max="4" width="16.44140625" style="25" customWidth="1"/>
    <col min="5" max="5" width="23.21875" style="25" customWidth="1"/>
    <col min="6" max="6" width="28.77734375" style="25" bestFit="1" customWidth="1"/>
    <col min="7" max="8" width="14.77734375" style="25" customWidth="1"/>
    <col min="9" max="9" width="17" style="25" customWidth="1"/>
    <col min="10" max="10" width="13.77734375" style="25" customWidth="1"/>
    <col min="11" max="16384" width="11.44140625" style="25"/>
  </cols>
  <sheetData>
    <row r="1" spans="1:38" x14ac:dyDescent="0.3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6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14</v>
      </c>
      <c r="C9" s="35">
        <v>0.39</v>
      </c>
      <c r="D9" s="36">
        <f t="shared" ref="D9:D18" si="0">C9*$C$5</f>
        <v>2.34</v>
      </c>
      <c r="E9" s="37">
        <v>110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6</v>
      </c>
      <c r="C10" s="35">
        <v>0.11</v>
      </c>
      <c r="D10" s="36">
        <f t="shared" si="0"/>
        <v>0.66</v>
      </c>
      <c r="E10" s="37">
        <v>110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</v>
      </c>
      <c r="C11" s="35">
        <v>0.04</v>
      </c>
      <c r="D11" s="36">
        <f t="shared" si="0"/>
        <v>0.24</v>
      </c>
      <c r="E11" s="37">
        <v>110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13</v>
      </c>
      <c r="C12" s="35">
        <v>0.13</v>
      </c>
      <c r="D12" s="36">
        <f t="shared" si="0"/>
        <v>0.78</v>
      </c>
      <c r="E12" s="37">
        <v>55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44</v>
      </c>
      <c r="C13" s="35">
        <v>0.13</v>
      </c>
      <c r="D13" s="36">
        <f t="shared" si="0"/>
        <v>0.78</v>
      </c>
      <c r="E13" s="37">
        <v>45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 t="s">
        <v>22</v>
      </c>
      <c r="C14" s="35">
        <v>0.13</v>
      </c>
      <c r="D14" s="36">
        <f t="shared" si="0"/>
        <v>0.78</v>
      </c>
      <c r="E14" s="37">
        <v>110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0.93</v>
      </c>
      <c r="D19" s="41">
        <f>SUM(D9:D18)</f>
        <v>5.580000000000001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63">
        <v>73</v>
      </c>
      <c r="C36" s="63">
        <v>1</v>
      </c>
      <c r="D36" s="63">
        <v>6</v>
      </c>
      <c r="E36" s="54"/>
      <c r="F36" s="54"/>
      <c r="G36" s="54"/>
      <c r="H36" s="54">
        <v>1</v>
      </c>
      <c r="I36" s="52">
        <f>IFERROR(B36/A36,"")</f>
        <v>3.65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25</v>
      </c>
      <c r="B37" s="63">
        <v>103</v>
      </c>
      <c r="C37" s="63">
        <v>2</v>
      </c>
      <c r="D37" s="63">
        <v>28</v>
      </c>
      <c r="E37" s="54"/>
      <c r="F37" s="54"/>
      <c r="G37" s="54">
        <v>0.5</v>
      </c>
      <c r="H37" s="54">
        <v>0.5</v>
      </c>
      <c r="I37" s="56">
        <f t="shared" ref="I37:I55" si="1">IF(A37&lt;&gt;0,(B37-(B36-D36))/(A37-A36),"")</f>
        <v>7.2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30</v>
      </c>
      <c r="B38" s="63">
        <v>121</v>
      </c>
      <c r="C38" s="63">
        <v>3</v>
      </c>
      <c r="D38" s="63">
        <v>28</v>
      </c>
      <c r="E38" s="54"/>
      <c r="F38" s="54"/>
      <c r="G38" s="54">
        <v>0.4</v>
      </c>
      <c r="H38" s="54">
        <v>0.6</v>
      </c>
      <c r="I38" s="56">
        <f t="shared" si="1"/>
        <v>9.1999999999999993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35</v>
      </c>
      <c r="B39" s="63">
        <v>147</v>
      </c>
      <c r="C39" s="63">
        <v>4</v>
      </c>
      <c r="D39" s="63">
        <v>28</v>
      </c>
      <c r="E39" s="54"/>
      <c r="F39" s="54"/>
      <c r="G39" s="54"/>
      <c r="H39" s="54"/>
      <c r="I39" s="52">
        <f t="shared" si="1"/>
        <v>10.8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40</v>
      </c>
      <c r="B40" s="63">
        <v>175</v>
      </c>
      <c r="C40" s="63">
        <v>5</v>
      </c>
      <c r="D40" s="63">
        <v>28</v>
      </c>
      <c r="E40" s="54"/>
      <c r="F40" s="54"/>
      <c r="G40" s="54"/>
      <c r="H40" s="54"/>
      <c r="I40" s="52">
        <f t="shared" si="1"/>
        <v>11.2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45</v>
      </c>
      <c r="B41" s="63">
        <v>204</v>
      </c>
      <c r="C41" s="63">
        <v>6</v>
      </c>
      <c r="D41" s="63">
        <v>28</v>
      </c>
      <c r="E41" s="54"/>
      <c r="F41" s="54"/>
      <c r="G41" s="54"/>
      <c r="H41" s="54"/>
      <c r="I41" s="56">
        <f t="shared" si="1"/>
        <v>11.4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50</v>
      </c>
      <c r="B42" s="63">
        <v>231</v>
      </c>
      <c r="C42" s="63">
        <v>7</v>
      </c>
      <c r="D42" s="63">
        <v>28</v>
      </c>
      <c r="E42" s="54"/>
      <c r="F42" s="54"/>
      <c r="G42" s="54"/>
      <c r="H42" s="54"/>
      <c r="I42" s="56">
        <f t="shared" si="1"/>
        <v>11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55</v>
      </c>
      <c r="B43" s="63">
        <v>254</v>
      </c>
      <c r="C43" s="63">
        <v>8</v>
      </c>
      <c r="D43" s="63">
        <v>28</v>
      </c>
      <c r="E43" s="54"/>
      <c r="F43" s="54"/>
      <c r="G43" s="54"/>
      <c r="H43" s="54"/>
      <c r="I43" s="52">
        <f t="shared" si="1"/>
        <v>10.199999999999999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>
        <v>60</v>
      </c>
      <c r="B44" s="63">
        <v>273</v>
      </c>
      <c r="C44" s="63">
        <v>9</v>
      </c>
      <c r="D44" s="63">
        <v>28</v>
      </c>
      <c r="E44" s="54"/>
      <c r="F44" s="54"/>
      <c r="G44" s="54"/>
      <c r="H44" s="54"/>
      <c r="I44" s="52">
        <f t="shared" si="1"/>
        <v>9.4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>
        <v>65</v>
      </c>
      <c r="B45" s="63">
        <v>289</v>
      </c>
      <c r="C45" s="63">
        <v>10</v>
      </c>
      <c r="D45" s="63">
        <v>28</v>
      </c>
      <c r="E45" s="54"/>
      <c r="F45" s="54"/>
      <c r="G45" s="54"/>
      <c r="H45" s="54"/>
      <c r="I45" s="52">
        <f t="shared" si="1"/>
        <v>8.8000000000000007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>
        <v>70</v>
      </c>
      <c r="B46" s="63">
        <v>302</v>
      </c>
      <c r="C46" s="63">
        <v>11</v>
      </c>
      <c r="D46" s="63">
        <v>28</v>
      </c>
      <c r="E46" s="54"/>
      <c r="F46" s="54"/>
      <c r="G46" s="54"/>
      <c r="H46" s="54"/>
      <c r="I46" s="52">
        <f t="shared" si="1"/>
        <v>8.1999999999999993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>
        <v>75</v>
      </c>
      <c r="B47" s="63">
        <v>312</v>
      </c>
      <c r="C47" s="63">
        <v>12</v>
      </c>
      <c r="D47" s="63">
        <v>28</v>
      </c>
      <c r="E47" s="54"/>
      <c r="F47" s="54"/>
      <c r="G47" s="54"/>
      <c r="H47" s="54"/>
      <c r="I47" s="52">
        <f t="shared" si="1"/>
        <v>7.6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>
        <v>80</v>
      </c>
      <c r="B48" s="63">
        <v>320</v>
      </c>
      <c r="C48" s="63">
        <v>13</v>
      </c>
      <c r="D48" s="63">
        <v>28</v>
      </c>
      <c r="E48" s="54"/>
      <c r="F48" s="54"/>
      <c r="G48" s="54"/>
      <c r="H48" s="54"/>
      <c r="I48" s="52">
        <f t="shared" si="1"/>
        <v>7.2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>
        <v>85</v>
      </c>
      <c r="B49" s="63">
        <v>326</v>
      </c>
      <c r="C49" s="63">
        <v>14</v>
      </c>
      <c r="D49" s="63">
        <v>28</v>
      </c>
      <c r="E49" s="54"/>
      <c r="F49" s="54"/>
      <c r="G49" s="54"/>
      <c r="H49" s="54"/>
      <c r="I49" s="52">
        <f t="shared" si="1"/>
        <v>6.8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>
        <v>90</v>
      </c>
      <c r="B50" s="53">
        <v>330</v>
      </c>
      <c r="C50" s="53">
        <v>15</v>
      </c>
      <c r="D50" s="53">
        <v>28</v>
      </c>
      <c r="E50" s="54"/>
      <c r="F50" s="54"/>
      <c r="G50" s="54"/>
      <c r="H50" s="54"/>
      <c r="I50" s="52">
        <f t="shared" si="1"/>
        <v>6.4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>
        <v>95</v>
      </c>
      <c r="B51" s="53">
        <v>333</v>
      </c>
      <c r="C51" s="53">
        <v>16</v>
      </c>
      <c r="D51" s="53">
        <v>28</v>
      </c>
      <c r="E51" s="54"/>
      <c r="F51" s="54"/>
      <c r="G51" s="54"/>
      <c r="H51" s="54"/>
      <c r="I51" s="52">
        <f t="shared" si="1"/>
        <v>6.2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>
        <v>100</v>
      </c>
      <c r="B52" s="53">
        <v>333</v>
      </c>
      <c r="C52" s="53">
        <v>17</v>
      </c>
      <c r="D52" s="53">
        <v>27</v>
      </c>
      <c r="E52" s="54"/>
      <c r="F52" s="54"/>
      <c r="G52" s="54"/>
      <c r="H52" s="54"/>
      <c r="I52" s="52">
        <f t="shared" si="1"/>
        <v>5.6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>
        <v>105</v>
      </c>
      <c r="B53" s="53">
        <v>333</v>
      </c>
      <c r="C53" s="53">
        <v>18</v>
      </c>
      <c r="D53" s="53">
        <v>26</v>
      </c>
      <c r="E53" s="54"/>
      <c r="F53" s="54"/>
      <c r="G53" s="54"/>
      <c r="H53" s="54"/>
      <c r="I53" s="52">
        <f t="shared" si="1"/>
        <v>5.4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>
        <v>110</v>
      </c>
      <c r="B54" s="53">
        <v>332</v>
      </c>
      <c r="C54" s="53"/>
      <c r="D54" s="53">
        <v>332</v>
      </c>
      <c r="E54" s="54"/>
      <c r="F54" s="54"/>
      <c r="G54" s="54"/>
      <c r="H54" s="54"/>
      <c r="I54" s="52">
        <f t="shared" si="1"/>
        <v>5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Charme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63">
        <v>73</v>
      </c>
      <c r="C62" s="63">
        <v>1</v>
      </c>
      <c r="D62" s="63">
        <v>6</v>
      </c>
      <c r="E62" s="54"/>
      <c r="F62" s="54"/>
      <c r="G62" s="54"/>
      <c r="H62" s="54">
        <v>1</v>
      </c>
      <c r="I62" s="56">
        <f>IFERROR(B62/A62,"")</f>
        <v>3.65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25</v>
      </c>
      <c r="B63" s="63">
        <v>103</v>
      </c>
      <c r="C63" s="63">
        <v>2</v>
      </c>
      <c r="D63" s="63">
        <v>28</v>
      </c>
      <c r="E63" s="54"/>
      <c r="F63" s="54"/>
      <c r="G63" s="54">
        <v>0.5</v>
      </c>
      <c r="H63" s="54">
        <v>0.5</v>
      </c>
      <c r="I63" s="52">
        <f>IF(A63&lt;&gt;0,(B63-(B62-D62))/(A63-A62),"")</f>
        <v>7.2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30</v>
      </c>
      <c r="B64" s="63">
        <v>121</v>
      </c>
      <c r="C64" s="63">
        <v>3</v>
      </c>
      <c r="D64" s="63">
        <v>28</v>
      </c>
      <c r="E64" s="54"/>
      <c r="F64" s="54"/>
      <c r="G64" s="54">
        <v>0.4</v>
      </c>
      <c r="H64" s="54">
        <v>0.6</v>
      </c>
      <c r="I64" s="52">
        <f>IF(A64&lt;&gt;0,(B64-(B63-D63))/(A64-A63),"")</f>
        <v>9.1999999999999993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35</v>
      </c>
      <c r="B65" s="63">
        <v>147</v>
      </c>
      <c r="C65" s="63">
        <v>4</v>
      </c>
      <c r="D65" s="63">
        <v>28</v>
      </c>
      <c r="E65" s="54"/>
      <c r="F65" s="54"/>
      <c r="G65" s="54"/>
      <c r="H65" s="54"/>
      <c r="I65" s="52">
        <f>IF(A65&lt;&gt;0,(B65-(B64-D64))/(A65-A64),"")</f>
        <v>10.8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40</v>
      </c>
      <c r="B66" s="63">
        <v>175</v>
      </c>
      <c r="C66" s="63">
        <v>5</v>
      </c>
      <c r="D66" s="63">
        <v>28</v>
      </c>
      <c r="E66" s="54"/>
      <c r="F66" s="54"/>
      <c r="G66" s="54"/>
      <c r="H66" s="54"/>
      <c r="I66" s="52">
        <f t="shared" ref="I66:I81" si="2">IF(A66&lt;&gt;0,(B66-(B65-D65))/(A66-A65),"")</f>
        <v>11.2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45</v>
      </c>
      <c r="B67" s="63">
        <v>204</v>
      </c>
      <c r="C67" s="63">
        <v>6</v>
      </c>
      <c r="D67" s="63">
        <v>28</v>
      </c>
      <c r="E67" s="54"/>
      <c r="F67" s="54"/>
      <c r="G67" s="54"/>
      <c r="H67" s="54"/>
      <c r="I67" s="52">
        <f t="shared" si="2"/>
        <v>11.4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50</v>
      </c>
      <c r="B68" s="63">
        <v>231</v>
      </c>
      <c r="C68" s="63">
        <v>7</v>
      </c>
      <c r="D68" s="63">
        <v>28</v>
      </c>
      <c r="E68" s="54"/>
      <c r="F68" s="54"/>
      <c r="G68" s="54"/>
      <c r="H68" s="54"/>
      <c r="I68" s="52">
        <f t="shared" si="2"/>
        <v>11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283">
        <v>55</v>
      </c>
      <c r="B69" s="63">
        <v>254</v>
      </c>
      <c r="C69" s="63">
        <v>8</v>
      </c>
      <c r="D69" s="63">
        <v>28</v>
      </c>
      <c r="E69" s="54"/>
      <c r="F69" s="54"/>
      <c r="G69" s="54"/>
      <c r="H69" s="54"/>
      <c r="I69" s="52">
        <f t="shared" si="2"/>
        <v>10.199999999999999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283">
        <v>60</v>
      </c>
      <c r="B70" s="63">
        <v>273</v>
      </c>
      <c r="C70" s="63">
        <v>9</v>
      </c>
      <c r="D70" s="63">
        <v>28</v>
      </c>
      <c r="E70" s="54"/>
      <c r="F70" s="54"/>
      <c r="G70" s="54"/>
      <c r="H70" s="54"/>
      <c r="I70" s="52">
        <f t="shared" si="2"/>
        <v>9.4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283">
        <v>65</v>
      </c>
      <c r="B71" s="63">
        <v>289</v>
      </c>
      <c r="C71" s="63">
        <v>10</v>
      </c>
      <c r="D71" s="63">
        <v>28</v>
      </c>
      <c r="E71" s="54"/>
      <c r="F71" s="54"/>
      <c r="G71" s="54"/>
      <c r="H71" s="54"/>
      <c r="I71" s="52">
        <f t="shared" si="2"/>
        <v>8.8000000000000007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283">
        <v>70</v>
      </c>
      <c r="B72" s="63">
        <v>302</v>
      </c>
      <c r="C72" s="63">
        <v>11</v>
      </c>
      <c r="D72" s="63">
        <v>28</v>
      </c>
      <c r="E72" s="54"/>
      <c r="F72" s="54"/>
      <c r="G72" s="54"/>
      <c r="H72" s="54"/>
      <c r="I72" s="52">
        <f t="shared" si="2"/>
        <v>8.1999999999999993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283">
        <v>75</v>
      </c>
      <c r="B73" s="63">
        <v>312</v>
      </c>
      <c r="C73" s="63">
        <v>12</v>
      </c>
      <c r="D73" s="63">
        <v>28</v>
      </c>
      <c r="E73" s="54"/>
      <c r="F73" s="54"/>
      <c r="G73" s="54"/>
      <c r="H73" s="54"/>
      <c r="I73" s="52">
        <f t="shared" si="2"/>
        <v>7.6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283">
        <v>80</v>
      </c>
      <c r="B74" s="63">
        <v>320</v>
      </c>
      <c r="C74" s="63">
        <v>13</v>
      </c>
      <c r="D74" s="63">
        <v>28</v>
      </c>
      <c r="E74" s="54"/>
      <c r="F74" s="54"/>
      <c r="G74" s="54"/>
      <c r="H74" s="54"/>
      <c r="I74" s="52">
        <f t="shared" si="2"/>
        <v>7.2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283">
        <v>85</v>
      </c>
      <c r="B75" s="63">
        <v>326</v>
      </c>
      <c r="C75" s="63">
        <v>14</v>
      </c>
      <c r="D75" s="63">
        <v>28</v>
      </c>
      <c r="E75" s="54"/>
      <c r="F75" s="54"/>
      <c r="G75" s="54"/>
      <c r="H75" s="54"/>
      <c r="I75" s="52">
        <f t="shared" si="2"/>
        <v>6.8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283">
        <v>90</v>
      </c>
      <c r="B76" s="53">
        <v>330</v>
      </c>
      <c r="C76" s="53">
        <v>15</v>
      </c>
      <c r="D76" s="53">
        <v>28</v>
      </c>
      <c r="E76" s="54"/>
      <c r="F76" s="54"/>
      <c r="G76" s="54"/>
      <c r="H76" s="54"/>
      <c r="I76" s="52">
        <f t="shared" si="2"/>
        <v>6.4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283">
        <v>95</v>
      </c>
      <c r="B77" s="53">
        <v>333</v>
      </c>
      <c r="C77" s="53">
        <v>16</v>
      </c>
      <c r="D77" s="53">
        <v>28</v>
      </c>
      <c r="E77" s="54"/>
      <c r="F77" s="54"/>
      <c r="G77" s="54"/>
      <c r="H77" s="54"/>
      <c r="I77" s="52">
        <f t="shared" si="2"/>
        <v>6.2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283">
        <v>100</v>
      </c>
      <c r="B78" s="53">
        <v>333</v>
      </c>
      <c r="C78" s="53">
        <v>17</v>
      </c>
      <c r="D78" s="53">
        <v>27</v>
      </c>
      <c r="E78" s="54"/>
      <c r="F78" s="54"/>
      <c r="G78" s="54"/>
      <c r="H78" s="54"/>
      <c r="I78" s="52">
        <f t="shared" si="2"/>
        <v>5.6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283">
        <v>105</v>
      </c>
      <c r="B79" s="53">
        <v>333</v>
      </c>
      <c r="C79" s="53">
        <v>18</v>
      </c>
      <c r="D79" s="53">
        <v>26</v>
      </c>
      <c r="E79" s="54"/>
      <c r="F79" s="54"/>
      <c r="G79" s="54"/>
      <c r="H79" s="54"/>
      <c r="I79" s="52">
        <f t="shared" si="2"/>
        <v>5.4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283">
        <v>110</v>
      </c>
      <c r="B80" s="53">
        <v>332</v>
      </c>
      <c r="C80" s="53"/>
      <c r="D80" s="53">
        <v>332</v>
      </c>
      <c r="E80" s="54"/>
      <c r="F80" s="54"/>
      <c r="G80" s="54"/>
      <c r="H80" s="54"/>
      <c r="I80" s="52">
        <f t="shared" si="2"/>
        <v>5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Alisier torminal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20</v>
      </c>
      <c r="B88" s="63">
        <v>73</v>
      </c>
      <c r="C88" s="63">
        <v>1</v>
      </c>
      <c r="D88" s="63">
        <v>6</v>
      </c>
      <c r="E88" s="54"/>
      <c r="F88" s="54"/>
      <c r="G88" s="54"/>
      <c r="H88" s="54">
        <v>1</v>
      </c>
      <c r="I88" s="56">
        <f>IFERROR(B88/A88,"")</f>
        <v>3.65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25</v>
      </c>
      <c r="B89" s="63">
        <v>103</v>
      </c>
      <c r="C89" s="63">
        <v>2</v>
      </c>
      <c r="D89" s="63">
        <v>28</v>
      </c>
      <c r="E89" s="54"/>
      <c r="F89" s="54"/>
      <c r="G89" s="54">
        <v>0.5</v>
      </c>
      <c r="H89" s="54">
        <v>0.5</v>
      </c>
      <c r="I89" s="56">
        <f t="shared" ref="I89:I107" si="3">IF(A89&lt;&gt;0,(B89-(B88-D88))/(A89-A88),"")</f>
        <v>7.2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30</v>
      </c>
      <c r="B90" s="63">
        <v>121</v>
      </c>
      <c r="C90" s="63">
        <v>3</v>
      </c>
      <c r="D90" s="63">
        <v>28</v>
      </c>
      <c r="E90" s="54"/>
      <c r="F90" s="54"/>
      <c r="G90" s="54">
        <v>0.4</v>
      </c>
      <c r="H90" s="54">
        <v>0.6</v>
      </c>
      <c r="I90" s="56">
        <f t="shared" si="3"/>
        <v>9.1999999999999993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35</v>
      </c>
      <c r="B91" s="63">
        <v>147</v>
      </c>
      <c r="C91" s="63">
        <v>4</v>
      </c>
      <c r="D91" s="63">
        <v>28</v>
      </c>
      <c r="E91" s="54"/>
      <c r="F91" s="54"/>
      <c r="G91" s="54"/>
      <c r="H91" s="54"/>
      <c r="I91" s="56">
        <f t="shared" si="3"/>
        <v>10.8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40</v>
      </c>
      <c r="B92" s="63">
        <v>175</v>
      </c>
      <c r="C92" s="63">
        <v>5</v>
      </c>
      <c r="D92" s="63">
        <v>28</v>
      </c>
      <c r="E92" s="54"/>
      <c r="F92" s="54"/>
      <c r="G92" s="54"/>
      <c r="H92" s="54"/>
      <c r="I92" s="56">
        <f t="shared" si="3"/>
        <v>11.2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45</v>
      </c>
      <c r="B93" s="63">
        <v>204</v>
      </c>
      <c r="C93" s="63">
        <v>6</v>
      </c>
      <c r="D93" s="63">
        <v>28</v>
      </c>
      <c r="E93" s="54"/>
      <c r="F93" s="54"/>
      <c r="G93" s="54"/>
      <c r="H93" s="54"/>
      <c r="I93" s="56">
        <f t="shared" si="3"/>
        <v>11.4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50</v>
      </c>
      <c r="B94" s="63">
        <v>231</v>
      </c>
      <c r="C94" s="63">
        <v>7</v>
      </c>
      <c r="D94" s="63">
        <v>28</v>
      </c>
      <c r="E94" s="54"/>
      <c r="F94" s="54"/>
      <c r="G94" s="54"/>
      <c r="H94" s="54"/>
      <c r="I94" s="56">
        <f t="shared" si="3"/>
        <v>11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283">
        <v>55</v>
      </c>
      <c r="B95" s="63">
        <v>254</v>
      </c>
      <c r="C95" s="63">
        <v>8</v>
      </c>
      <c r="D95" s="63">
        <v>28</v>
      </c>
      <c r="E95" s="54"/>
      <c r="F95" s="54"/>
      <c r="G95" s="54"/>
      <c r="H95" s="54"/>
      <c r="I95" s="56">
        <f t="shared" si="3"/>
        <v>10.199999999999999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283">
        <v>60</v>
      </c>
      <c r="B96" s="63">
        <v>273</v>
      </c>
      <c r="C96" s="63">
        <v>9</v>
      </c>
      <c r="D96" s="63">
        <v>28</v>
      </c>
      <c r="E96" s="54"/>
      <c r="F96" s="54"/>
      <c r="G96" s="54"/>
      <c r="H96" s="54"/>
      <c r="I96" s="56">
        <f t="shared" si="3"/>
        <v>9.4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283">
        <v>65</v>
      </c>
      <c r="B97" s="63">
        <v>289</v>
      </c>
      <c r="C97" s="63">
        <v>10</v>
      </c>
      <c r="D97" s="63">
        <v>28</v>
      </c>
      <c r="E97" s="54"/>
      <c r="F97" s="54"/>
      <c r="G97" s="54"/>
      <c r="H97" s="54"/>
      <c r="I97" s="56">
        <f t="shared" si="3"/>
        <v>8.8000000000000007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283">
        <v>70</v>
      </c>
      <c r="B98" s="63">
        <v>302</v>
      </c>
      <c r="C98" s="63">
        <v>11</v>
      </c>
      <c r="D98" s="63">
        <v>28</v>
      </c>
      <c r="E98" s="54"/>
      <c r="F98" s="54"/>
      <c r="G98" s="54"/>
      <c r="H98" s="54"/>
      <c r="I98" s="56">
        <f t="shared" si="3"/>
        <v>8.1999999999999993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283">
        <v>75</v>
      </c>
      <c r="B99" s="63">
        <v>312</v>
      </c>
      <c r="C99" s="63">
        <v>12</v>
      </c>
      <c r="D99" s="63">
        <v>28</v>
      </c>
      <c r="E99" s="54"/>
      <c r="F99" s="54"/>
      <c r="G99" s="54"/>
      <c r="H99" s="54"/>
      <c r="I99" s="56">
        <f t="shared" si="3"/>
        <v>7.6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283">
        <v>80</v>
      </c>
      <c r="B100" s="63">
        <v>320</v>
      </c>
      <c r="C100" s="63">
        <v>13</v>
      </c>
      <c r="D100" s="63">
        <v>28</v>
      </c>
      <c r="E100" s="54"/>
      <c r="F100" s="54"/>
      <c r="G100" s="54"/>
      <c r="H100" s="54"/>
      <c r="I100" s="56">
        <f t="shared" si="3"/>
        <v>7.2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283">
        <v>85</v>
      </c>
      <c r="B101" s="63">
        <v>326</v>
      </c>
      <c r="C101" s="63">
        <v>14</v>
      </c>
      <c r="D101" s="63">
        <v>28</v>
      </c>
      <c r="E101" s="54"/>
      <c r="F101" s="54"/>
      <c r="G101" s="54"/>
      <c r="H101" s="54"/>
      <c r="I101" s="56">
        <f t="shared" si="3"/>
        <v>6.8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283">
        <v>90</v>
      </c>
      <c r="B102" s="53">
        <v>330</v>
      </c>
      <c r="C102" s="53">
        <v>15</v>
      </c>
      <c r="D102" s="53">
        <v>28</v>
      </c>
      <c r="E102" s="54"/>
      <c r="F102" s="54"/>
      <c r="G102" s="54"/>
      <c r="H102" s="54"/>
      <c r="I102" s="56">
        <f t="shared" si="3"/>
        <v>6.4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283">
        <v>95</v>
      </c>
      <c r="B103" s="53">
        <v>333</v>
      </c>
      <c r="C103" s="53">
        <v>16</v>
      </c>
      <c r="D103" s="53">
        <v>28</v>
      </c>
      <c r="E103" s="54"/>
      <c r="F103" s="54"/>
      <c r="G103" s="54"/>
      <c r="H103" s="54"/>
      <c r="I103" s="56">
        <f t="shared" si="3"/>
        <v>6.2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283">
        <v>100</v>
      </c>
      <c r="B104" s="53">
        <v>333</v>
      </c>
      <c r="C104" s="53">
        <v>17</v>
      </c>
      <c r="D104" s="53">
        <v>27</v>
      </c>
      <c r="E104" s="54"/>
      <c r="F104" s="54"/>
      <c r="G104" s="54"/>
      <c r="H104" s="54"/>
      <c r="I104" s="56">
        <f t="shared" si="3"/>
        <v>5.6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283">
        <v>105</v>
      </c>
      <c r="B105" s="53">
        <v>333</v>
      </c>
      <c r="C105" s="53">
        <v>18</v>
      </c>
      <c r="D105" s="53">
        <v>26</v>
      </c>
      <c r="E105" s="54"/>
      <c r="F105" s="54"/>
      <c r="G105" s="54"/>
      <c r="H105" s="54"/>
      <c r="I105" s="56">
        <f t="shared" si="3"/>
        <v>5.4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283">
        <v>110</v>
      </c>
      <c r="B106" s="53">
        <v>332</v>
      </c>
      <c r="C106" s="53"/>
      <c r="D106" s="53">
        <v>332</v>
      </c>
      <c r="E106" s="54"/>
      <c r="F106" s="54"/>
      <c r="G106" s="54"/>
      <c r="H106" s="54"/>
      <c r="I106" s="56">
        <f t="shared" si="3"/>
        <v>5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Chêne rouge d'Amérique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15</v>
      </c>
      <c r="B114" s="63">
        <v>107</v>
      </c>
      <c r="C114" s="53">
        <v>1</v>
      </c>
      <c r="D114" s="63">
        <v>34</v>
      </c>
      <c r="E114" s="54"/>
      <c r="F114" s="54"/>
      <c r="G114" s="54"/>
      <c r="H114" s="54">
        <v>1</v>
      </c>
      <c r="I114" s="56">
        <f>IFERROR(B114/A114,"")</f>
        <v>7.1333333333333337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20</v>
      </c>
      <c r="B115" s="63">
        <v>154</v>
      </c>
      <c r="C115" s="53">
        <v>2</v>
      </c>
      <c r="D115" s="63">
        <v>50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16.2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25</v>
      </c>
      <c r="B116" s="63">
        <v>183</v>
      </c>
      <c r="C116" s="53">
        <v>3</v>
      </c>
      <c r="D116" s="63">
        <v>52</v>
      </c>
      <c r="E116" s="54"/>
      <c r="F116" s="54"/>
      <c r="G116" s="54"/>
      <c r="H116" s="54">
        <v>1</v>
      </c>
      <c r="I116" s="56">
        <f t="shared" si="4"/>
        <v>15.8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30</v>
      </c>
      <c r="B117" s="63">
        <v>205</v>
      </c>
      <c r="C117" s="53">
        <v>4</v>
      </c>
      <c r="D117" s="63">
        <v>51</v>
      </c>
      <c r="E117" s="54"/>
      <c r="F117" s="54"/>
      <c r="G117" s="54"/>
      <c r="H117" s="54">
        <v>1</v>
      </c>
      <c r="I117" s="56">
        <f t="shared" si="4"/>
        <v>14.8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35</v>
      </c>
      <c r="B118" s="63">
        <v>222</v>
      </c>
      <c r="C118" s="53">
        <v>5</v>
      </c>
      <c r="D118" s="63">
        <v>49</v>
      </c>
      <c r="E118" s="54"/>
      <c r="F118" s="54"/>
      <c r="G118" s="54"/>
      <c r="H118" s="54"/>
      <c r="I118" s="56">
        <f t="shared" si="4"/>
        <v>13.6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40</v>
      </c>
      <c r="B119" s="63">
        <v>235</v>
      </c>
      <c r="C119" s="53">
        <v>6</v>
      </c>
      <c r="D119" s="63">
        <v>45</v>
      </c>
      <c r="E119" s="54"/>
      <c r="F119" s="54"/>
      <c r="G119" s="54"/>
      <c r="H119" s="54"/>
      <c r="I119" s="56">
        <f t="shared" si="4"/>
        <v>12.4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>
        <v>45</v>
      </c>
      <c r="B120" s="63">
        <v>245</v>
      </c>
      <c r="C120" s="63">
        <v>7</v>
      </c>
      <c r="D120" s="63">
        <v>41</v>
      </c>
      <c r="E120" s="93"/>
      <c r="F120" s="93"/>
      <c r="G120" s="93"/>
      <c r="H120" s="93"/>
      <c r="I120" s="56">
        <f t="shared" si="4"/>
        <v>11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>
        <v>50</v>
      </c>
      <c r="B121" s="63">
        <v>252</v>
      </c>
      <c r="C121" s="63">
        <v>8</v>
      </c>
      <c r="D121" s="63">
        <v>37</v>
      </c>
      <c r="E121" s="93"/>
      <c r="F121" s="93"/>
      <c r="G121" s="93"/>
      <c r="H121" s="93"/>
      <c r="I121" s="56">
        <f t="shared" si="4"/>
        <v>9.6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>
        <v>55</v>
      </c>
      <c r="B122" s="63">
        <v>258</v>
      </c>
      <c r="C122" s="63"/>
      <c r="D122" s="63">
        <v>258</v>
      </c>
      <c r="E122" s="93"/>
      <c r="F122" s="93"/>
      <c r="G122" s="93"/>
      <c r="H122" s="93"/>
      <c r="I122" s="56">
        <f t="shared" si="4"/>
        <v>8.6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Robinier faux-acacia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15</v>
      </c>
      <c r="B140" s="63">
        <v>174</v>
      </c>
      <c r="C140" s="53">
        <v>1</v>
      </c>
      <c r="D140" s="63">
        <f>6+28+23</f>
        <v>57</v>
      </c>
      <c r="E140" s="54"/>
      <c r="F140" s="54"/>
      <c r="G140" s="54"/>
      <c r="H140" s="54">
        <v>1</v>
      </c>
      <c r="I140" s="60">
        <f>IFERROR(B140/A140,"")</f>
        <v>11.6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20</v>
      </c>
      <c r="B141" s="63">
        <v>180</v>
      </c>
      <c r="C141" s="53">
        <v>2</v>
      </c>
      <c r="D141" s="63">
        <v>18</v>
      </c>
      <c r="E141" s="54"/>
      <c r="F141" s="54"/>
      <c r="G141" s="54"/>
      <c r="H141" s="54">
        <v>1</v>
      </c>
      <c r="I141" s="60">
        <f t="shared" ref="I141:I159" si="5">IF(A141&lt;&gt;0,(B141-(B140-D140))/(A141-A140),"")</f>
        <v>12.6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25</v>
      </c>
      <c r="B142" s="63">
        <v>214</v>
      </c>
      <c r="C142" s="53">
        <v>3</v>
      </c>
      <c r="D142" s="63">
        <v>14</v>
      </c>
      <c r="E142" s="54"/>
      <c r="F142" s="54"/>
      <c r="G142" s="54"/>
      <c r="H142" s="54">
        <v>1</v>
      </c>
      <c r="I142" s="60">
        <f t="shared" si="5"/>
        <v>10.4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30</v>
      </c>
      <c r="B143" s="63">
        <v>243</v>
      </c>
      <c r="C143" s="53">
        <v>4</v>
      </c>
      <c r="D143" s="63">
        <v>11</v>
      </c>
      <c r="E143" s="54"/>
      <c r="F143" s="54"/>
      <c r="G143" s="54"/>
      <c r="H143" s="54">
        <v>1</v>
      </c>
      <c r="I143" s="60">
        <f t="shared" si="5"/>
        <v>8.6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35</v>
      </c>
      <c r="B144" s="63">
        <v>267</v>
      </c>
      <c r="C144" s="53">
        <v>5</v>
      </c>
      <c r="D144" s="63">
        <v>9</v>
      </c>
      <c r="E144" s="54"/>
      <c r="F144" s="54"/>
      <c r="G144" s="54"/>
      <c r="H144" s="54"/>
      <c r="I144" s="60">
        <f t="shared" si="5"/>
        <v>7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40</v>
      </c>
      <c r="B145" s="63">
        <v>289</v>
      </c>
      <c r="C145" s="53">
        <v>6</v>
      </c>
      <c r="D145" s="63">
        <v>7</v>
      </c>
      <c r="E145" s="54"/>
      <c r="F145" s="54"/>
      <c r="G145" s="54"/>
      <c r="H145" s="54"/>
      <c r="I145" s="60">
        <f t="shared" si="5"/>
        <v>6.2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>
        <v>45</v>
      </c>
      <c r="B146" s="63">
        <v>312</v>
      </c>
      <c r="C146" s="53"/>
      <c r="D146" s="63">
        <v>312</v>
      </c>
      <c r="E146" s="54"/>
      <c r="F146" s="54"/>
      <c r="G146" s="54"/>
      <c r="H146" s="54"/>
      <c r="I146" s="60">
        <f t="shared" si="5"/>
        <v>6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>Erable plane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>
        <v>20</v>
      </c>
      <c r="B166" s="63">
        <v>73</v>
      </c>
      <c r="C166" s="63">
        <v>1</v>
      </c>
      <c r="D166" s="63">
        <v>6</v>
      </c>
      <c r="E166" s="54"/>
      <c r="F166" s="54"/>
      <c r="G166" s="54"/>
      <c r="H166" s="54">
        <v>1</v>
      </c>
      <c r="I166" s="52">
        <f>IFERROR(B166/A166,"")</f>
        <v>3.65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>
        <v>25</v>
      </c>
      <c r="B167" s="63">
        <v>103</v>
      </c>
      <c r="C167" s="63">
        <v>2</v>
      </c>
      <c r="D167" s="63">
        <v>28</v>
      </c>
      <c r="E167" s="54"/>
      <c r="F167" s="54"/>
      <c r="G167" s="54">
        <v>0.5</v>
      </c>
      <c r="H167" s="54">
        <v>0.5</v>
      </c>
      <c r="I167" s="52">
        <f t="shared" ref="I167:I185" si="6">IF(A167&lt;&gt;0,(B167-(B166-D166))/(A167-A166),"")</f>
        <v>7.2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>
        <v>30</v>
      </c>
      <c r="B168" s="63">
        <v>121</v>
      </c>
      <c r="C168" s="63">
        <v>3</v>
      </c>
      <c r="D168" s="63">
        <v>28</v>
      </c>
      <c r="E168" s="54"/>
      <c r="F168" s="54"/>
      <c r="G168" s="54">
        <v>0.4</v>
      </c>
      <c r="H168" s="54">
        <v>0.6</v>
      </c>
      <c r="I168" s="52">
        <f t="shared" si="6"/>
        <v>9.1999999999999993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>
        <v>35</v>
      </c>
      <c r="B169" s="63">
        <v>147</v>
      </c>
      <c r="C169" s="63">
        <v>4</v>
      </c>
      <c r="D169" s="63">
        <v>28</v>
      </c>
      <c r="E169" s="54"/>
      <c r="F169" s="54"/>
      <c r="G169" s="54"/>
      <c r="H169" s="54"/>
      <c r="I169" s="52">
        <f t="shared" si="6"/>
        <v>10.8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>
        <v>40</v>
      </c>
      <c r="B170" s="63">
        <v>175</v>
      </c>
      <c r="C170" s="63">
        <v>5</v>
      </c>
      <c r="D170" s="63">
        <v>28</v>
      </c>
      <c r="E170" s="54"/>
      <c r="F170" s="54"/>
      <c r="G170" s="54"/>
      <c r="H170" s="54"/>
      <c r="I170" s="52">
        <f t="shared" si="6"/>
        <v>11.2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>
        <v>45</v>
      </c>
      <c r="B171" s="63">
        <v>204</v>
      </c>
      <c r="C171" s="63">
        <v>6</v>
      </c>
      <c r="D171" s="63">
        <v>28</v>
      </c>
      <c r="E171" s="54"/>
      <c r="F171" s="54"/>
      <c r="G171" s="54"/>
      <c r="H171" s="54"/>
      <c r="I171" s="52">
        <f t="shared" si="6"/>
        <v>11.4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>
        <v>50</v>
      </c>
      <c r="B172" s="63">
        <v>231</v>
      </c>
      <c r="C172" s="63">
        <v>7</v>
      </c>
      <c r="D172" s="63">
        <v>28</v>
      </c>
      <c r="E172" s="54"/>
      <c r="F172" s="54"/>
      <c r="G172" s="54"/>
      <c r="H172" s="54"/>
      <c r="I172" s="52">
        <f t="shared" si="6"/>
        <v>11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283">
        <v>55</v>
      </c>
      <c r="B173" s="63">
        <v>254</v>
      </c>
      <c r="C173" s="63">
        <v>8</v>
      </c>
      <c r="D173" s="63">
        <v>28</v>
      </c>
      <c r="E173" s="54"/>
      <c r="F173" s="54"/>
      <c r="G173" s="54"/>
      <c r="H173" s="54"/>
      <c r="I173" s="52">
        <f t="shared" si="6"/>
        <v>10.199999999999999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283">
        <v>60</v>
      </c>
      <c r="B174" s="63">
        <v>273</v>
      </c>
      <c r="C174" s="63">
        <v>9</v>
      </c>
      <c r="D174" s="63">
        <v>28</v>
      </c>
      <c r="E174" s="54"/>
      <c r="F174" s="54"/>
      <c r="G174" s="54"/>
      <c r="H174" s="54"/>
      <c r="I174" s="52">
        <f t="shared" si="6"/>
        <v>9.4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283">
        <v>65</v>
      </c>
      <c r="B175" s="63">
        <v>289</v>
      </c>
      <c r="C175" s="63">
        <v>10</v>
      </c>
      <c r="D175" s="63">
        <v>28</v>
      </c>
      <c r="E175" s="54"/>
      <c r="F175" s="54"/>
      <c r="G175" s="54"/>
      <c r="H175" s="54"/>
      <c r="I175" s="52">
        <f t="shared" si="6"/>
        <v>8.8000000000000007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283">
        <v>70</v>
      </c>
      <c r="B176" s="63">
        <v>302</v>
      </c>
      <c r="C176" s="63">
        <v>11</v>
      </c>
      <c r="D176" s="63">
        <v>28</v>
      </c>
      <c r="E176" s="54"/>
      <c r="F176" s="54"/>
      <c r="G176" s="54"/>
      <c r="H176" s="54"/>
      <c r="I176" s="52">
        <f t="shared" si="6"/>
        <v>8.1999999999999993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283">
        <v>75</v>
      </c>
      <c r="B177" s="63">
        <v>312</v>
      </c>
      <c r="C177" s="63">
        <v>12</v>
      </c>
      <c r="D177" s="63">
        <v>28</v>
      </c>
      <c r="E177" s="54"/>
      <c r="F177" s="54"/>
      <c r="G177" s="54"/>
      <c r="H177" s="54"/>
      <c r="I177" s="52">
        <f t="shared" si="6"/>
        <v>7.6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283">
        <v>80</v>
      </c>
      <c r="B178" s="63">
        <v>320</v>
      </c>
      <c r="C178" s="63">
        <v>13</v>
      </c>
      <c r="D178" s="63">
        <v>28</v>
      </c>
      <c r="E178" s="54"/>
      <c r="F178" s="54"/>
      <c r="G178" s="54"/>
      <c r="H178" s="54"/>
      <c r="I178" s="52">
        <f t="shared" si="6"/>
        <v>7.2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283">
        <v>85</v>
      </c>
      <c r="B179" s="63">
        <v>326</v>
      </c>
      <c r="C179" s="63">
        <v>14</v>
      </c>
      <c r="D179" s="63">
        <v>28</v>
      </c>
      <c r="E179" s="54"/>
      <c r="F179" s="54"/>
      <c r="G179" s="54"/>
      <c r="H179" s="54"/>
      <c r="I179" s="52">
        <f t="shared" si="6"/>
        <v>6.8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283">
        <v>90</v>
      </c>
      <c r="B180" s="53">
        <v>330</v>
      </c>
      <c r="C180" s="53">
        <v>15</v>
      </c>
      <c r="D180" s="53">
        <v>28</v>
      </c>
      <c r="E180" s="54"/>
      <c r="F180" s="54"/>
      <c r="G180" s="54"/>
      <c r="H180" s="54"/>
      <c r="I180" s="52">
        <f t="shared" si="6"/>
        <v>6.4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283">
        <v>95</v>
      </c>
      <c r="B181" s="53">
        <v>333</v>
      </c>
      <c r="C181" s="53">
        <v>16</v>
      </c>
      <c r="D181" s="53">
        <v>28</v>
      </c>
      <c r="E181" s="54"/>
      <c r="F181" s="54"/>
      <c r="G181" s="54"/>
      <c r="H181" s="54"/>
      <c r="I181" s="52">
        <f t="shared" si="6"/>
        <v>6.2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283">
        <v>100</v>
      </c>
      <c r="B182" s="53">
        <v>333</v>
      </c>
      <c r="C182" s="53">
        <v>17</v>
      </c>
      <c r="D182" s="53">
        <v>27</v>
      </c>
      <c r="E182" s="54"/>
      <c r="F182" s="54"/>
      <c r="G182" s="54"/>
      <c r="H182" s="54"/>
      <c r="I182" s="52">
        <f t="shared" si="6"/>
        <v>5.6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283">
        <v>105</v>
      </c>
      <c r="B183" s="53">
        <v>333</v>
      </c>
      <c r="C183" s="53">
        <v>18</v>
      </c>
      <c r="D183" s="53">
        <v>26</v>
      </c>
      <c r="E183" s="54"/>
      <c r="F183" s="54"/>
      <c r="G183" s="54"/>
      <c r="H183" s="54"/>
      <c r="I183" s="52">
        <f t="shared" si="6"/>
        <v>5.4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283">
        <v>110</v>
      </c>
      <c r="B184" s="53">
        <v>332</v>
      </c>
      <c r="C184" s="53"/>
      <c r="D184" s="53">
        <v>332</v>
      </c>
      <c r="E184" s="54"/>
      <c r="F184" s="54"/>
      <c r="G184" s="54"/>
      <c r="H184" s="54"/>
      <c r="I184" s="52">
        <f t="shared" si="6"/>
        <v>5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topLeftCell="A3" zoomScale="115" zoomScaleNormal="115" workbookViewId="0">
      <selection activeCell="C34" sqref="C34"/>
    </sheetView>
  </sheetViews>
  <sheetFormatPr baseColWidth="10" defaultColWidth="11.44140625" defaultRowHeight="14.4" x14ac:dyDescent="0.3"/>
  <cols>
    <col min="1" max="1" width="5.77734375" style="1" customWidth="1"/>
    <col min="2" max="2" width="14.21875" style="1" customWidth="1"/>
    <col min="3" max="3" width="62.21875" style="1" customWidth="1"/>
    <col min="4" max="5" width="4.21875" style="1" customWidth="1"/>
    <col min="6" max="6" width="14.21875" style="1" customWidth="1"/>
    <col min="7" max="7" width="73.2187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71" bestFit="1" customWidth="1"/>
    <col min="2" max="4" width="11.44140625" style="71"/>
    <col min="5" max="5" width="9.5546875" style="71" customWidth="1"/>
    <col min="6" max="7" width="11.44140625" style="71"/>
    <col min="8" max="8" width="10.7773437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77734375" style="71" bestFit="1" customWidth="1"/>
    <col min="25" max="25" width="14.5546875" style="71" bestFit="1" customWidth="1"/>
    <col min="26" max="26" width="12.44140625" style="71" bestFit="1" customWidth="1"/>
    <col min="27" max="27" width="9.7773437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21875" style="71" bestFit="1" customWidth="1"/>
    <col min="45" max="45" width="11.77734375" style="71" bestFit="1" customWidth="1"/>
    <col min="46" max="46" width="8.44140625" style="71" bestFit="1" customWidth="1"/>
    <col min="47" max="47" width="9.44140625" style="71" bestFit="1" customWidth="1"/>
    <col min="48" max="48" width="9.7773437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2187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21875" style="71" bestFit="1" customWidth="1"/>
    <col min="66" max="66" width="11.77734375" style="71" bestFit="1" customWidth="1"/>
    <col min="67" max="67" width="8.44140625" style="71" bestFit="1" customWidth="1"/>
    <col min="68" max="68" width="9.44140625" style="71" bestFit="1" customWidth="1"/>
    <col min="69" max="69" width="9.7773437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777343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21875" style="71" bestFit="1" customWidth="1"/>
    <col min="87" max="87" width="11.77734375" style="71" bestFit="1" customWidth="1"/>
    <col min="88" max="88" width="8.44140625" style="71" bestFit="1" customWidth="1"/>
    <col min="89" max="89" width="9.44140625" style="71" bestFit="1" customWidth="1"/>
    <col min="90" max="90" width="9.7773437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21875" style="71" bestFit="1" customWidth="1"/>
    <col min="108" max="108" width="11.77734375" style="71" bestFit="1" customWidth="1"/>
    <col min="109" max="109" width="8.44140625" style="71" bestFit="1" customWidth="1"/>
    <col min="110" max="110" width="9.44140625" style="71" bestFit="1" customWidth="1"/>
    <col min="111" max="111" width="9.7773437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2187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21875" style="71" bestFit="1" customWidth="1"/>
    <col min="129" max="129" width="11.77734375" style="71" bestFit="1" customWidth="1"/>
    <col min="130" max="130" width="8.44140625" style="71" bestFit="1" customWidth="1"/>
    <col min="131" max="131" width="9.44140625" style="71" bestFit="1" customWidth="1"/>
    <col min="132" max="132" width="9.7773437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21875" style="71" bestFit="1" customWidth="1"/>
    <col min="150" max="150" width="11.77734375" style="71" bestFit="1" customWidth="1"/>
    <col min="151" max="151" width="8.44140625" style="71" bestFit="1" customWidth="1"/>
    <col min="152" max="152" width="9.44140625" style="71" bestFit="1" customWidth="1"/>
    <col min="153" max="153" width="9.7773437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21875" style="71" bestFit="1" customWidth="1"/>
    <col min="171" max="171" width="11.77734375" style="71" bestFit="1" customWidth="1"/>
    <col min="172" max="172" width="8.21875" style="71" bestFit="1" customWidth="1"/>
    <col min="173" max="173" width="9.44140625" style="71" bestFit="1" customWidth="1"/>
    <col min="174" max="174" width="9.7773437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2187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7773437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2187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21875" style="71" bestFit="1" customWidth="1"/>
    <col min="213" max="213" width="11.77734375" style="71" bestFit="1" customWidth="1"/>
    <col min="214" max="214" width="8.44140625" style="71" bestFit="1" customWidth="1"/>
    <col min="215" max="215" width="9.44140625" style="71" bestFit="1" customWidth="1"/>
    <col min="216" max="216" width="9.7773437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sessile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Charme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Alisier torminal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Chêne rouge d'Amérique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Robinier faux-acacia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>Erable plane</v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429.08375622925655</v>
      </c>
      <c r="T3" s="62">
        <f>IF('Données projet'!E9&gt;30,$R$33-$H$33,LOOKUP('Données projet'!$E$9,$A$3:$A$203,R3:R203)-LOOKUP('Données projet'!$E$9,$A$3:$A$203,$H$3:$H$203))</f>
        <v>278.21741231699929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449.16408464351673</v>
      </c>
      <c r="AO3" s="62">
        <f>IF('Données projet'!E10&gt;30,$AM$33-$H$33,LOOKUP('Données projet'!$E$10,$A$3:$A$203,AM3:AM203)-LOOKUP('Données projet'!$E$10,$A$3:$A$203,$H$3:$H$203))</f>
        <v>290.39826583283588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455.85294519779609</v>
      </c>
      <c r="BJ3" s="62">
        <f>IF('Données projet'!E11&gt;30,$BH$33-$H$33,LOOKUP('Données projet'!$E$11,$A$3:$A$203,BH3:BH203)-LOOKUP('Données projet'!$E$11,$A$3:$A$203,$H$3:$H$203))</f>
        <v>294.45557293177131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304.32767345253382</v>
      </c>
      <c r="CE3" s="62">
        <f>IF('Données projet'!E12&gt;30,$CC$33-$H$33,LOOKUP('Données projet'!$E$12,$A$3:$A$203,CC3:CC203)-LOOKUP('Données projet'!$E$12,$A$3:$A$203,$H$3:$H$203))</f>
        <v>427.16091343339173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350.06545824795847</v>
      </c>
      <c r="CZ3" s="62">
        <f>IF('Données projet'!E13&gt;30,$CX$33-$H$33,LOOKUP('Données projet'!$E$13,$A$3:$A$203,CX3:CX203)-LOOKUP('Données projet'!$E$13,$A$3:$A$203,$H$3:$H$203))</f>
        <v>513.80016421153414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256.66666666666669</v>
      </c>
      <c r="DT3" s="62">
        <f ca="1">AVERAGE(OFFSET($DS$3,0,0,'Données projet'!$E$14+1,1))-AVERAGE(OFFSET($H$3,0,0,'Données projet'!$E$14+1,1))</f>
        <v>382.14353215900121</v>
      </c>
      <c r="DU3" s="62">
        <f>IF('Données projet'!E14&gt;30,$DS$33-$H$33,LOOKUP('Données projet'!$E$14,$A$3:$A$203,DS3:DS203)-LOOKUP('Données projet'!$E$14,$A$3:$A$203,$H$3:$H$203))</f>
        <v>249.73945975250177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3.65</v>
      </c>
      <c r="N4" s="14">
        <f>IF('Données projet'!$A$36&gt;35,N3+M4-V3,IF(A4&lt;'Données projet'!$A$36,$K$205^A4,IF(A4='Données projet'!$A$36,'Données projet'!$B$36,N3+M4-V3)))</f>
        <v>1.2392705892426346</v>
      </c>
      <c r="O4" s="14">
        <f>N4*VLOOKUP('Données projet'!$B$9,Paramètres!$A$1:$I$89,3,0)*VLOOKUP('Données projet'!$B$9,Paramètres!$A$1:$I$89,5,0)</f>
        <v>1.1212920291467359</v>
      </c>
      <c r="P4" s="14">
        <f>EXP(-1.0587+0.8836*LN(O4)+0.284)</f>
        <v>0.50989827066551541</v>
      </c>
      <c r="Q4" s="22">
        <f t="shared" ref="Q4:Q34" si="2">(O4+P4)*0.475*44/12</f>
        <v>2.8409897721730037</v>
      </c>
      <c r="R4" s="62">
        <f t="shared" si="0"/>
        <v>260.72987866106189</v>
      </c>
      <c r="S4" s="62">
        <f ca="1">AVERAGE(OFFSET($R$3,0,0,'Données projet'!$E$9+1,1))-AVERAGE(OFFSET($H$3,0,0,'Données projet'!$E$9+1,1))</f>
        <v>429.08375622925655</v>
      </c>
      <c r="T4" s="62">
        <f>$T$3</f>
        <v>278.21741231699929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3.65</v>
      </c>
      <c r="AI4" s="14">
        <f>IF('Données projet'!$A$62&gt;35,AI3+AH4-AQ3,IF(A4&lt;'Données projet'!$A$62,$AF$205^A4,IF(A4='Données projet'!$A$62,'Données projet'!$B$62,AI3+AH4-AQ3)))</f>
        <v>1.2392705892426346</v>
      </c>
      <c r="AJ4" s="14">
        <f>AI4*VLOOKUP('Données projet'!$B$10,Paramètres!$A$1:$I$89,3,0)*VLOOKUP('Données projet'!$B$10,Paramètres!$A$1:$I$89,5,0)</f>
        <v>1.1792898927232911</v>
      </c>
      <c r="AK4" s="14">
        <f>EXP(-1.0587+0.8836*LN(AJ4)+0.284)</f>
        <v>0.53313354102797472</v>
      </c>
      <c r="AL4" s="22">
        <f t="shared" ref="AL4:AL67" si="4">(AJ4+AK4)*0.475*44/12</f>
        <v>2.9824708137834541</v>
      </c>
      <c r="AM4" s="62">
        <f t="shared" ref="AM4:AM67" si="5">AL4+(AD4+AE4)*44/12</f>
        <v>260.87135970267229</v>
      </c>
      <c r="AN4" s="62">
        <f ca="1">AVERAGE(OFFSET($AM$3,0,0,'Données projet'!$E$10+1,1))-AVERAGE(OFFSET($H$3,0,0,'Données projet'!$E$10+1,1))</f>
        <v>449.16408464351673</v>
      </c>
      <c r="AO4" s="62">
        <f>$AO$3</f>
        <v>290.39826583283588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3.65</v>
      </c>
      <c r="BD4" s="13">
        <f>IF('Données projet'!$A$88&gt;35,BD3+BC4-BL3,IF(A4&lt;'Données projet'!$A$88,$BA$205^A4,IF(A4='Données projet'!$A$88,'Données projet'!$B$88,BD3+BC4-BL3)))</f>
        <v>1.2392705892426346</v>
      </c>
      <c r="BE4" s="14">
        <f>BD4*VLOOKUP('Données projet'!$B$11,Paramètres!$A$1:$I$89,3,0)*VLOOKUP('Données projet'!$B$11,Paramètres!$A$1:$I$89,5,0)</f>
        <v>1.1986225139154763</v>
      </c>
      <c r="BF4" s="14">
        <f>EXP(-1.0587+0.8836*LN(BE4)+0.284)</f>
        <v>0.54084878793982472</v>
      </c>
      <c r="BG4" s="22">
        <f t="shared" ref="BG4:BG67" si="7">(BE4+BF4)*0.475*44/12</f>
        <v>3.0295791840646493</v>
      </c>
      <c r="BH4" s="62">
        <f t="shared" ref="BH4:BH67" si="8">BG4+(AY4+AZ4)*44/12</f>
        <v>260.91846807295349</v>
      </c>
      <c r="BI4" s="62">
        <f ca="1">AVERAGE(OFFSET($BH$3,0,0,'Données projet'!$E$11+1,1))-AVERAGE(OFFSET($H$3,0,0,'Données projet'!$E$11+1,1))</f>
        <v>455.85294519779609</v>
      </c>
      <c r="BJ4" s="62">
        <f>$BJ$3</f>
        <v>294.45557293177131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7.1333333333333337</v>
      </c>
      <c r="BY4" s="13">
        <f>IF('Données projet'!$A$114&gt;35,BY3+BX4-CG3,IF(A4&lt;'Données projet'!$A$114,$BV$205^A4,IF(A4='Données projet'!$A$114,'Données projet'!$B$114,BY3+BX4-CG3)))</f>
        <v>1.3655017210306359</v>
      </c>
      <c r="BZ4" s="14">
        <f>BY4*VLOOKUP('Données projet'!$B$12,Paramètres!$A$1:$I$89,3,0)*VLOOKUP('Données projet'!$B$12,Paramètres!$A$1:$I$89,5,0)</f>
        <v>1.1929023034923638</v>
      </c>
      <c r="CA4" s="14">
        <f>EXP(-1.0587+0.8836*LN(BZ4)+0.284)</f>
        <v>0.53856749022761552</v>
      </c>
      <c r="CB4" s="22">
        <f t="shared" ref="CB4:CB67" si="10">(BZ4+CA4)*0.475*44/12</f>
        <v>3.015643224062297</v>
      </c>
      <c r="CC4" s="62">
        <f t="shared" ref="CC4:CC67" si="11">CB4+(BT4+BU4)*44/12</f>
        <v>260.90453211295113</v>
      </c>
      <c r="CD4" s="62">
        <f ca="1">AVERAGE(OFFSET($CC$3,0,0,'Données projet'!$E$12+1,1))-AVERAGE(OFFSET($H$3,0,0,'Données projet'!$E$12+1,1))</f>
        <v>304.32767345253382</v>
      </c>
      <c r="CE4" s="62">
        <f>$CE$3</f>
        <v>427.16091343339173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11.6</v>
      </c>
      <c r="CT4" s="13">
        <f>IF('Données projet'!$A$140&gt;35,CT3+CS4-DB3,IF(A4&lt;'Données projet'!$A$140,$CQ$205^A4,IF(A4='Données projet'!$A$140,'Données projet'!$B$140,CT3+CS4-DB3)))</f>
        <v>1.4104897999888117</v>
      </c>
      <c r="CU4" s="18">
        <f>CT4*VLOOKUP('Données projet'!$B$13,Paramètres!$A$1:$I$89,3,0)*VLOOKUP('Données projet'!$B$13,Paramètres!$A$1:$I$89,5,0)</f>
        <v>1.2762111710298767</v>
      </c>
      <c r="CV4" s="14">
        <f>EXP(-1.0587+0.8836*LN(CU4)+0.284)</f>
        <v>0.57166976414930004</v>
      </c>
      <c r="CW4" s="22">
        <f t="shared" ref="CW4:CW67" si="13">(CU4+CV4)*0.475*44/12</f>
        <v>3.218392628770399</v>
      </c>
      <c r="CX4" s="62">
        <f t="shared" ref="CX4:CX67" si="14">CW4+(CO4+CP4)*44/12</f>
        <v>261.10728151765926</v>
      </c>
      <c r="CY4" s="62">
        <f ca="1">AVERAGE(OFFSET($CX$3,0,0,'Données projet'!$E$13+1,1))-AVERAGE(OFFSET($H$3,0,0,'Données projet'!$E$13+1,1))</f>
        <v>350.06545824795847</v>
      </c>
      <c r="CZ4" s="62">
        <f>$CZ$3</f>
        <v>513.80016421153414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3.65</v>
      </c>
      <c r="DO4" s="13">
        <f>IF('Données projet'!$A$166&gt;35,DO3+DN4-DW3,IF(A4&lt;'Données projet'!$A$166,$DL$205^A4,IF(A4='Données projet'!$A$166,'Données projet'!$B$166,DO3+DN4-DW3)))</f>
        <v>1.2392705892426346</v>
      </c>
      <c r="DP4" s="18">
        <f>DO4*VLOOKUP('Données projet'!$B$14,Paramètres!$A$1:$I$89,3,0)*VLOOKUP('Données projet'!$B$14,Paramètres!$A$1:$I$89,5,0)</f>
        <v>0.98596368080144015</v>
      </c>
      <c r="DQ4" s="14">
        <f>EXP(-1.0587+0.8836*LN(DP4)+0.284)</f>
        <v>0.45512172993827033</v>
      </c>
      <c r="DR4" s="22">
        <f t="shared" ref="DR4:DR67" si="16">(DP4+DQ4)*0.475*44/12</f>
        <v>2.5098904237049955</v>
      </c>
      <c r="DS4" s="62">
        <f t="shared" ref="DS4:DS67" si="17">DR4+(DJ4+DK4)*44/12</f>
        <v>260.39877931259383</v>
      </c>
      <c r="DT4" s="62">
        <f ca="1">AVERAGE(OFFSET($DS$3,0,0,'Données projet'!$E$14+1,1))-AVERAGE(OFFSET($H$3,0,0,'Données projet'!$E$14+1,1))</f>
        <v>382.14353215900121</v>
      </c>
      <c r="DU4" s="62">
        <f>$DU$3</f>
        <v>249.73945975250177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3.65</v>
      </c>
      <c r="N5" s="14">
        <f>IF('Données projet'!$A$36&gt;35,N4+M5-V4,IF(A5&lt;'Données projet'!$A$36,$K$205^A5,IF(A5='Données projet'!$A$36,'Données projet'!$B$36,N4+M5-V4)))</f>
        <v>1.5357915933617867</v>
      </c>
      <c r="O5" s="14">
        <f>N5*VLOOKUP('Données projet'!$B$9,Paramètres!$A$1:$I$89,3,0)*VLOOKUP('Données projet'!$B$9,Paramètres!$A$1:$I$89,5,0)</f>
        <v>1.3895842336737447</v>
      </c>
      <c r="P5" s="14">
        <f t="shared" ref="P5:P68" si="33">EXP(-1.0587+0.8836*LN(O5)+0.284)</f>
        <v>0.61631841327304715</v>
      </c>
      <c r="Q5" s="22">
        <f t="shared" si="2"/>
        <v>3.4936137767656628</v>
      </c>
      <c r="R5" s="62">
        <f t="shared" si="0"/>
        <v>262.60472488787678</v>
      </c>
      <c r="S5" s="62">
        <f ca="1">AVERAGE(OFFSET($R$3,0,0,'Données projet'!$E$9+1,1))-AVERAGE(OFFSET($H$3,0,0,'Données projet'!$E$9+1,1))</f>
        <v>429.08375622925655</v>
      </c>
      <c r="T5" s="62">
        <f t="shared" ref="T5:T68" si="34">$T$3</f>
        <v>278.21741231699929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3.65</v>
      </c>
      <c r="AI5" s="14">
        <f>IF('Données projet'!$A$62&gt;35,AI4+AH5-AQ4,IF(A5&lt;'Données projet'!$A$62,$AF$205^A5,IF(A5='Données projet'!$A$62,'Données projet'!$B$62,AI4+AH5-AQ4)))</f>
        <v>1.5357915933617867</v>
      </c>
      <c r="AJ5" s="14">
        <f>AI5*VLOOKUP('Données projet'!$B$10,Paramètres!$A$1:$I$89,3,0)*VLOOKUP('Données projet'!$B$10,Paramètres!$A$1:$I$89,5,0)</f>
        <v>1.4614592802430761</v>
      </c>
      <c r="AK5" s="14">
        <f t="shared" ref="AK5:AK68" si="35">EXP(-1.0587+0.8836*LN(AJ5)+0.284)</f>
        <v>0.64440308385463263</v>
      </c>
      <c r="AL5" s="22">
        <f t="shared" si="4"/>
        <v>3.6677102841368421</v>
      </c>
      <c r="AM5" s="62">
        <f t="shared" si="5"/>
        <v>262.77882139524797</v>
      </c>
      <c r="AN5" s="62">
        <f ca="1">AVERAGE(OFFSET($AM$3,0,0,'Données projet'!$E$10+1,1))-AVERAGE(OFFSET($H$3,0,0,'Données projet'!$E$10+1,1))</f>
        <v>449.16408464351673</v>
      </c>
      <c r="AO5" s="62">
        <f t="shared" ref="AO5:AO68" si="36">$AO$3</f>
        <v>290.39826583283588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3.65</v>
      </c>
      <c r="BD5" s="13">
        <f>IF('Données projet'!$A$88&gt;35,BD4+BC5-BL4,IF(A5&lt;'Données projet'!$A$88,$BA$205^A5,IF(A5='Données projet'!$A$88,'Données projet'!$B$88,BD4+BC5-BL4)))</f>
        <v>1.5357915933617867</v>
      </c>
      <c r="BE5" s="14">
        <f>BD5*VLOOKUP('Données projet'!$B$11,Paramètres!$A$1:$I$89,3,0)*VLOOKUP('Données projet'!$B$11,Paramètres!$A$1:$I$89,5,0)</f>
        <v>1.4854176290995202</v>
      </c>
      <c r="BF5" s="14">
        <f t="shared" ref="BF5:BF68" si="37">EXP(-1.0587+0.8836*LN(BE5)+0.284)</f>
        <v>0.65372856897250708</v>
      </c>
      <c r="BG5" s="22">
        <f t="shared" si="7"/>
        <v>3.725679628308781</v>
      </c>
      <c r="BH5" s="62">
        <f t="shared" si="8"/>
        <v>262.83679073941994</v>
      </c>
      <c r="BI5" s="62">
        <f ca="1">AVERAGE(OFFSET($BH$3,0,0,'Données projet'!$E$11+1,1))-AVERAGE(OFFSET($H$3,0,0,'Données projet'!$E$11+1,1))</f>
        <v>455.85294519779609</v>
      </c>
      <c r="BJ5" s="62">
        <f t="shared" ref="BJ5:BJ68" si="38">$BJ$3</f>
        <v>294.45557293177131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7.1333333333333337</v>
      </c>
      <c r="BY5" s="13">
        <f>IF('Données projet'!$A$114&gt;35,BY4+BX5-CG4,IF(A5&lt;'Données projet'!$A$114,$BV$205^A5,IF(A5='Données projet'!$A$114,'Données projet'!$B$114,BY4+BX5-CG4)))</f>
        <v>1.8645949501376287</v>
      </c>
      <c r="BZ5" s="14">
        <f>BY5*VLOOKUP('Données projet'!$B$12,Paramètres!$A$1:$I$89,3,0)*VLOOKUP('Données projet'!$B$12,Paramètres!$A$1:$I$89,5,0)</f>
        <v>1.6289101484402326</v>
      </c>
      <c r="CA5" s="14">
        <f t="shared" ref="CA5:CA68" si="39">EXP(-1.0587+0.8836*LN(BZ5)+0.284)</f>
        <v>0.70922554238821334</v>
      </c>
      <c r="CB5" s="22">
        <f t="shared" si="10"/>
        <v>4.0722529948595438</v>
      </c>
      <c r="CC5" s="62">
        <f t="shared" si="11"/>
        <v>263.18336410597067</v>
      </c>
      <c r="CD5" s="62">
        <f ca="1">AVERAGE(OFFSET($CC$3,0,0,'Données projet'!$E$12+1,1))-AVERAGE(OFFSET($H$3,0,0,'Données projet'!$E$12+1,1))</f>
        <v>304.32767345253382</v>
      </c>
      <c r="CE5" s="62">
        <f t="shared" ref="CE5:CE68" si="40">$CE$3</f>
        <v>427.16091343339173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11.6</v>
      </c>
      <c r="CT5" s="13">
        <f>IF('Données projet'!$A$140&gt;35,CT4+CS5-DB4,IF(A5&lt;'Données projet'!$A$140,$CQ$205^A5,IF(A5='Données projet'!$A$140,'Données projet'!$B$140,CT4+CS5-DB4)))</f>
        <v>1.9894814758724781</v>
      </c>
      <c r="CU5" s="18">
        <f>CT5*VLOOKUP('Données projet'!$B$13,Paramètres!$A$1:$I$89,3,0)*VLOOKUP('Données projet'!$B$13,Paramètres!$A$1:$I$89,5,0)</f>
        <v>1.8000828393694182</v>
      </c>
      <c r="CV5" s="14">
        <f t="shared" ref="CV5:CV68" si="41">EXP(-1.0587+0.8836*LN(CU5)+0.284)</f>
        <v>0.7746909999301691</v>
      </c>
      <c r="CW5" s="22">
        <f t="shared" si="13"/>
        <v>4.4843977701134472</v>
      </c>
      <c r="CX5" s="62">
        <f t="shared" si="14"/>
        <v>263.59550888122459</v>
      </c>
      <c r="CY5" s="62">
        <f ca="1">AVERAGE(OFFSET($CX$3,0,0,'Données projet'!$E$13+1,1))-AVERAGE(OFFSET($H$3,0,0,'Données projet'!$E$13+1,1))</f>
        <v>350.06545824795847</v>
      </c>
      <c r="CZ5" s="62">
        <f t="shared" ref="CZ5:CZ68" si="42">$CZ$3</f>
        <v>513.80016421153414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3.65</v>
      </c>
      <c r="DO5" s="13">
        <f>IF('Données projet'!$A$166&gt;35,DO4+DN5-DW4,IF(A5&lt;'Données projet'!$A$166,$DL$205^A5,IF(A5='Données projet'!$A$166,'Données projet'!$B$166,DO4+DN5-DW4)))</f>
        <v>1.5357915933617867</v>
      </c>
      <c r="DP5" s="18">
        <f>DO5*VLOOKUP('Données projet'!$B$14,Paramètres!$A$1:$I$89,3,0)*VLOOKUP('Données projet'!$B$14,Paramètres!$A$1:$I$89,5,0)</f>
        <v>1.2218757916786376</v>
      </c>
      <c r="DQ5" s="14">
        <f t="shared" ref="DQ5:DQ68" si="43">EXP(-1.0587+0.8836*LN(DP5)+0.284)</f>
        <v>0.55010953866451173</v>
      </c>
      <c r="DR5" s="22">
        <f t="shared" si="16"/>
        <v>3.0862077836809849</v>
      </c>
      <c r="DS5" s="62">
        <f t="shared" si="17"/>
        <v>262.19731889479215</v>
      </c>
      <c r="DT5" s="62">
        <f ca="1">AVERAGE(OFFSET($DS$3,0,0,'Données projet'!$E$14+1,1))-AVERAGE(OFFSET($H$3,0,0,'Données projet'!$E$14+1,1))</f>
        <v>382.14353215900121</v>
      </c>
      <c r="DU5" s="62">
        <f t="shared" ref="DU5:DU68" si="44">$DU$3</f>
        <v>249.73945975250177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3.65</v>
      </c>
      <c r="N6" s="14">
        <f>IF('Données projet'!$A$36&gt;35,N5+M6-V5,IF(A6&lt;'Données projet'!$A$36,$K$205^A6,IF(A6='Données projet'!$A$36,'Données projet'!$B$36,N5+M6-V5)))</f>
        <v>1.9032613528593461</v>
      </c>
      <c r="O6" s="14">
        <f>N6*VLOOKUP('Données projet'!$B$9,Paramètres!$A$1:$I$89,3,0)*VLOOKUP('Données projet'!$B$9,Paramètres!$A$1:$I$89,5,0)</f>
        <v>1.7220708720671365</v>
      </c>
      <c r="P6" s="14">
        <f t="shared" si="33"/>
        <v>0.74494935243383209</v>
      </c>
      <c r="Q6" s="22">
        <f t="shared" si="2"/>
        <v>4.2967268910058536</v>
      </c>
      <c r="R6" s="62">
        <f t="shared" si="0"/>
        <v>264.63006022433916</v>
      </c>
      <c r="S6" s="62">
        <f ca="1">AVERAGE(OFFSET($R$3,0,0,'Données projet'!$E$9+1,1))-AVERAGE(OFFSET($H$3,0,0,'Données projet'!$E$9+1,1))</f>
        <v>429.08375622925655</v>
      </c>
      <c r="T6" s="62">
        <f t="shared" si="34"/>
        <v>278.21741231699929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3.65</v>
      </c>
      <c r="AI6" s="14">
        <f>IF('Données projet'!$A$62&gt;35,AI5+AH6-AQ5,IF(A6&lt;'Données projet'!$A$62,$AF$205^A6,IF(A6='Données projet'!$A$62,'Données projet'!$B$62,AI5+AH6-AQ5)))</f>
        <v>1.9032613528593461</v>
      </c>
      <c r="AJ6" s="14">
        <f>AI6*VLOOKUP('Données projet'!$B$10,Paramètres!$A$1:$I$89,3,0)*VLOOKUP('Données projet'!$B$10,Paramètres!$A$1:$I$89,5,0)</f>
        <v>1.8111435033809535</v>
      </c>
      <c r="AK6" s="14">
        <f t="shared" si="35"/>
        <v>0.77889553465474304</v>
      </c>
      <c r="AL6" s="22">
        <f t="shared" si="4"/>
        <v>4.5109846579121706</v>
      </c>
      <c r="AM6" s="62">
        <f t="shared" si="5"/>
        <v>264.84431799124548</v>
      </c>
      <c r="AN6" s="62">
        <f ca="1">AVERAGE(OFFSET($AM$3,0,0,'Données projet'!$E$10+1,1))-AVERAGE(OFFSET($H$3,0,0,'Données projet'!$E$10+1,1))</f>
        <v>449.16408464351673</v>
      </c>
      <c r="AO6" s="62">
        <f t="shared" si="36"/>
        <v>290.39826583283588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3.65</v>
      </c>
      <c r="BD6" s="13">
        <f>IF('Données projet'!$A$88&gt;35,BD5+BC6-BL5,IF(A6&lt;'Données projet'!$A$88,$BA$205^A6,IF(A6='Données projet'!$A$88,'Données projet'!$B$88,BD5+BC6-BL5)))</f>
        <v>1.9032613528593461</v>
      </c>
      <c r="BE6" s="14">
        <f>BD6*VLOOKUP('Données projet'!$B$11,Paramètres!$A$1:$I$89,3,0)*VLOOKUP('Données projet'!$B$11,Paramètres!$A$1:$I$89,5,0)</f>
        <v>1.8408343804855598</v>
      </c>
      <c r="BF6" s="14">
        <f t="shared" si="37"/>
        <v>0.79016732850363813</v>
      </c>
      <c r="BG6" s="22">
        <f t="shared" si="7"/>
        <v>4.5823279764895188</v>
      </c>
      <c r="BH6" s="62">
        <f t="shared" si="8"/>
        <v>264.91566130982284</v>
      </c>
      <c r="BI6" s="62">
        <f ca="1">AVERAGE(OFFSET($BH$3,0,0,'Données projet'!$E$11+1,1))-AVERAGE(OFFSET($H$3,0,0,'Données projet'!$E$11+1,1))</f>
        <v>455.85294519779609</v>
      </c>
      <c r="BJ6" s="62">
        <f t="shared" si="38"/>
        <v>294.45557293177131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7.1333333333333337</v>
      </c>
      <c r="BY6" s="13">
        <f>IF('Données projet'!$A$114&gt;35,BY5+BX6-CG5,IF(A6&lt;'Données projet'!$A$114,$BV$205^A6,IF(A6='Données projet'!$A$114,'Données projet'!$B$114,BY5+BX6-CG5)))</f>
        <v>2.5461076134379645</v>
      </c>
      <c r="BZ6" s="14">
        <f>BY6*VLOOKUP('Données projet'!$B$12,Paramètres!$A$1:$I$89,3,0)*VLOOKUP('Données projet'!$B$12,Paramètres!$A$1:$I$89,5,0)</f>
        <v>2.2242796110994063</v>
      </c>
      <c r="CA6" s="14">
        <f t="shared" si="39"/>
        <v>0.93396069963909534</v>
      </c>
      <c r="CB6" s="22">
        <f t="shared" si="10"/>
        <v>5.5006018745362235</v>
      </c>
      <c r="CC6" s="62">
        <f t="shared" si="11"/>
        <v>265.83393520786956</v>
      </c>
      <c r="CD6" s="62">
        <f ca="1">AVERAGE(OFFSET($CC$3,0,0,'Données projet'!$E$12+1,1))-AVERAGE(OFFSET($H$3,0,0,'Données projet'!$E$12+1,1))</f>
        <v>304.32767345253382</v>
      </c>
      <c r="CE6" s="62">
        <f t="shared" si="40"/>
        <v>427.16091343339173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11.6</v>
      </c>
      <c r="CT6" s="13">
        <f>IF('Données projet'!$A$140&gt;35,CT5+CS6-DB5,IF(A6&lt;'Données projet'!$A$140,$CQ$205^A6,IF(A6='Données projet'!$A$140,'Données projet'!$B$140,CT5+CS6-DB5)))</f>
        <v>2.8061433289848177</v>
      </c>
      <c r="CU6" s="18">
        <f>CT6*VLOOKUP('Données projet'!$B$13,Paramètres!$A$1:$I$89,3,0)*VLOOKUP('Données projet'!$B$13,Paramètres!$A$1:$I$89,5,0)</f>
        <v>2.5389984840654631</v>
      </c>
      <c r="CV6" s="14">
        <f t="shared" si="41"/>
        <v>1.0498126418595548</v>
      </c>
      <c r="CW6" s="22">
        <f t="shared" si="13"/>
        <v>6.2505127109860723</v>
      </c>
      <c r="CX6" s="62">
        <f t="shared" si="14"/>
        <v>266.58384604431939</v>
      </c>
      <c r="CY6" s="62">
        <f ca="1">AVERAGE(OFFSET($CX$3,0,0,'Données projet'!$E$13+1,1))-AVERAGE(OFFSET($H$3,0,0,'Données projet'!$E$13+1,1))</f>
        <v>350.06545824795847</v>
      </c>
      <c r="CZ6" s="62">
        <f t="shared" si="42"/>
        <v>513.80016421153414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3.65</v>
      </c>
      <c r="DO6" s="13">
        <f>IF('Données projet'!$A$166&gt;35,DO5+DN6-DW5,IF(A6&lt;'Données projet'!$A$166,$DL$205^A6,IF(A6='Données projet'!$A$166,'Données projet'!$B$166,DO5+DN6-DW5)))</f>
        <v>1.9032613528593461</v>
      </c>
      <c r="DP6" s="18">
        <f>DO6*VLOOKUP('Données projet'!$B$14,Paramètres!$A$1:$I$89,3,0)*VLOOKUP('Données projet'!$B$14,Paramètres!$A$1:$I$89,5,0)</f>
        <v>1.5142347323348957</v>
      </c>
      <c r="DQ6" s="14">
        <f t="shared" si="43"/>
        <v>0.66492211780511412</v>
      </c>
      <c r="DR6" s="22">
        <f t="shared" si="16"/>
        <v>3.7953648473271833</v>
      </c>
      <c r="DS6" s="62">
        <f t="shared" si="17"/>
        <v>264.12869818066048</v>
      </c>
      <c r="DT6" s="62">
        <f ca="1">AVERAGE(OFFSET($DS$3,0,0,'Données projet'!$E$14+1,1))-AVERAGE(OFFSET($H$3,0,0,'Données projet'!$E$14+1,1))</f>
        <v>382.14353215900121</v>
      </c>
      <c r="DU6" s="62">
        <f t="shared" si="44"/>
        <v>249.73945975250177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3.65</v>
      </c>
      <c r="N7" s="14">
        <f>IF('Données projet'!$A$36&gt;35,N6+M7-V6,IF(A7&lt;'Données projet'!$A$36,$K$205^A7,IF(A7='Données projet'!$A$36,'Données projet'!$B$36,N6+M7-V6)))</f>
        <v>2.3586558182407358</v>
      </c>
      <c r="O7" s="14">
        <f>N7*VLOOKUP('Données projet'!$B$9,Paramètres!$A$1:$I$89,3,0)*VLOOKUP('Données projet'!$B$9,Paramètres!$A$1:$I$89,5,0)</f>
        <v>2.1341117843442179</v>
      </c>
      <c r="P7" s="14">
        <f t="shared" si="33"/>
        <v>0.90042667189585779</v>
      </c>
      <c r="Q7" s="22">
        <f t="shared" si="2"/>
        <v>5.2851544779514645</v>
      </c>
      <c r="R7" s="62">
        <f t="shared" si="0"/>
        <v>266.84071003350698</v>
      </c>
      <c r="S7" s="62">
        <f ca="1">AVERAGE(OFFSET($R$3,0,0,'Données projet'!$E$9+1,1))-AVERAGE(OFFSET($H$3,0,0,'Données projet'!$E$9+1,1))</f>
        <v>429.08375622925655</v>
      </c>
      <c r="T7" s="62">
        <f t="shared" si="34"/>
        <v>278.21741231699929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3.65</v>
      </c>
      <c r="AI7" s="14">
        <f>IF('Données projet'!$A$62&gt;35,AI6+AH7-AQ6,IF(A7&lt;'Données projet'!$A$62,$AF$205^A7,IF(A7='Données projet'!$A$62,'Données projet'!$B$62,AI6+AH7-AQ6)))</f>
        <v>2.3586558182407358</v>
      </c>
      <c r="AJ7" s="14">
        <f>AI7*VLOOKUP('Données projet'!$B$10,Paramètres!$A$1:$I$89,3,0)*VLOOKUP('Données projet'!$B$10,Paramètres!$A$1:$I$89,5,0)</f>
        <v>2.2444968766378843</v>
      </c>
      <c r="AK7" s="14">
        <f t="shared" si="35"/>
        <v>0.94145771351081142</v>
      </c>
      <c r="AL7" s="22">
        <f t="shared" si="4"/>
        <v>5.5488709111756451</v>
      </c>
      <c r="AM7" s="62">
        <f t="shared" si="5"/>
        <v>267.10442646673118</v>
      </c>
      <c r="AN7" s="62">
        <f ca="1">AVERAGE(OFFSET($AM$3,0,0,'Données projet'!$E$10+1,1))-AVERAGE(OFFSET($H$3,0,0,'Données projet'!$E$10+1,1))</f>
        <v>449.16408464351673</v>
      </c>
      <c r="AO7" s="62">
        <f t="shared" si="36"/>
        <v>290.39826583283588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3.65</v>
      </c>
      <c r="BD7" s="13">
        <f>IF('Données projet'!$A$88&gt;35,BD6+BC7-BL6,IF(A7&lt;'Données projet'!$A$88,$BA$205^A7,IF(A7='Données projet'!$A$88,'Données projet'!$B$88,BD6+BC7-BL6)))</f>
        <v>2.3586558182407358</v>
      </c>
      <c r="BE7" s="14">
        <f>BD7*VLOOKUP('Données projet'!$B$11,Paramètres!$A$1:$I$89,3,0)*VLOOKUP('Données projet'!$B$11,Paramètres!$A$1:$I$89,5,0)</f>
        <v>2.2812919074024398</v>
      </c>
      <c r="BF7" s="14">
        <f t="shared" si="37"/>
        <v>0.95508202741684722</v>
      </c>
      <c r="BG7" s="22">
        <f t="shared" si="7"/>
        <v>5.6366846031435918</v>
      </c>
      <c r="BH7" s="62">
        <f t="shared" si="8"/>
        <v>267.19224015869912</v>
      </c>
      <c r="BI7" s="62">
        <f ca="1">AVERAGE(OFFSET($BH$3,0,0,'Données projet'!$E$11+1,1))-AVERAGE(OFFSET($H$3,0,0,'Données projet'!$E$11+1,1))</f>
        <v>455.85294519779609</v>
      </c>
      <c r="BJ7" s="62">
        <f t="shared" si="38"/>
        <v>294.45557293177131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7.1333333333333337</v>
      </c>
      <c r="BY7" s="13">
        <f>IF('Données projet'!$A$114&gt;35,BY6+BX7-CG6,IF(A7&lt;'Données projet'!$A$114,$BV$205^A7,IF(A7='Données projet'!$A$114,'Données projet'!$B$114,BY6+BX7-CG6)))</f>
        <v>3.4767143280787458</v>
      </c>
      <c r="BZ7" s="14">
        <f>BY7*VLOOKUP('Données projet'!$B$12,Paramètres!$A$1:$I$89,3,0)*VLOOKUP('Données projet'!$B$12,Paramètres!$A$1:$I$89,5,0)</f>
        <v>3.0372576370095925</v>
      </c>
      <c r="CA7" s="14">
        <f t="shared" si="39"/>
        <v>1.2299085923119242</v>
      </c>
      <c r="CB7" s="22">
        <f t="shared" si="10"/>
        <v>7.4319811827349751</v>
      </c>
      <c r="CC7" s="62">
        <f t="shared" si="11"/>
        <v>268.98753673829054</v>
      </c>
      <c r="CD7" s="62">
        <f ca="1">AVERAGE(OFFSET($CC$3,0,0,'Données projet'!$E$12+1,1))-AVERAGE(OFFSET($H$3,0,0,'Données projet'!$E$12+1,1))</f>
        <v>304.32767345253382</v>
      </c>
      <c r="CE7" s="62">
        <f t="shared" si="40"/>
        <v>427.16091343339173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11.6</v>
      </c>
      <c r="CT7" s="13">
        <f>IF('Données projet'!$A$140&gt;35,CT6+CS7-DB6,IF(A7&lt;'Données projet'!$A$140,$CQ$205^A7,IF(A7='Données projet'!$A$140,'Données projet'!$B$140,CT6+CS7-DB6)))</f>
        <v>3.9580365428397339</v>
      </c>
      <c r="CU7" s="18">
        <f>CT7*VLOOKUP('Données projet'!$B$13,Paramètres!$A$1:$I$89,3,0)*VLOOKUP('Données projet'!$B$13,Paramètres!$A$1:$I$89,5,0)</f>
        <v>3.5812314639613914</v>
      </c>
      <c r="CV7" s="14">
        <f t="shared" si="41"/>
        <v>1.4226402308888089</v>
      </c>
      <c r="CW7" s="22">
        <f t="shared" si="13"/>
        <v>8.7150765351974329</v>
      </c>
      <c r="CX7" s="62">
        <f t="shared" si="14"/>
        <v>270.270632090753</v>
      </c>
      <c r="CY7" s="62">
        <f ca="1">AVERAGE(OFFSET($CX$3,0,0,'Données projet'!$E$13+1,1))-AVERAGE(OFFSET($H$3,0,0,'Données projet'!$E$13+1,1))</f>
        <v>350.06545824795847</v>
      </c>
      <c r="CZ7" s="62">
        <f t="shared" si="42"/>
        <v>513.80016421153414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3.65</v>
      </c>
      <c r="DO7" s="13">
        <f>IF('Données projet'!$A$166&gt;35,DO6+DN7-DW6,IF(A7&lt;'Données projet'!$A$166,$DL$205^A7,IF(A7='Données projet'!$A$166,'Données projet'!$B$166,DO6+DN7-DW6)))</f>
        <v>2.3586558182407358</v>
      </c>
      <c r="DP7" s="18">
        <f>DO7*VLOOKUP('Données projet'!$B$14,Paramètres!$A$1:$I$89,3,0)*VLOOKUP('Données projet'!$B$14,Paramètres!$A$1:$I$89,5,0)</f>
        <v>1.8765465689923293</v>
      </c>
      <c r="DQ7" s="14">
        <f t="shared" si="43"/>
        <v>0.80369706698736043</v>
      </c>
      <c r="DR7" s="22">
        <f t="shared" si="16"/>
        <v>4.6680909993312927</v>
      </c>
      <c r="DS7" s="62">
        <f t="shared" si="17"/>
        <v>266.22364655488684</v>
      </c>
      <c r="DT7" s="62">
        <f ca="1">AVERAGE(OFFSET($DS$3,0,0,'Données projet'!$E$14+1,1))-AVERAGE(OFFSET($H$3,0,0,'Données projet'!$E$14+1,1))</f>
        <v>382.14353215900121</v>
      </c>
      <c r="DU7" s="62">
        <f t="shared" si="44"/>
        <v>249.73945975250177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3.65</v>
      </c>
      <c r="N8" s="14">
        <f>IF('Données projet'!$A$36&gt;35,N7+M8-V7,IF(A8&lt;'Données projet'!$A$36,$K$205^A8,IF(A8='Données projet'!$A$36,'Données projet'!$B$36,N7+M8-V7)))</f>
        <v>2.9230127856917649</v>
      </c>
      <c r="O8" s="14">
        <f>N8*VLOOKUP('Données projet'!$B$9,Paramètres!$A$1:$I$89,3,0)*VLOOKUP('Données projet'!$B$9,Paramètres!$A$1:$I$89,5,0)</f>
        <v>2.6447419684939089</v>
      </c>
      <c r="P8" s="14">
        <f t="shared" si="33"/>
        <v>1.0883534414958294</v>
      </c>
      <c r="Q8" s="22">
        <f t="shared" si="2"/>
        <v>6.5018078390654601</v>
      </c>
      <c r="R8" s="62">
        <f t="shared" si="0"/>
        <v>269.27958561684324</v>
      </c>
      <c r="S8" s="62">
        <f ca="1">AVERAGE(OFFSET($R$3,0,0,'Données projet'!$E$9+1,1))-AVERAGE(OFFSET($H$3,0,0,'Données projet'!$E$9+1,1))</f>
        <v>429.08375622925655</v>
      </c>
      <c r="T8" s="62">
        <f t="shared" si="34"/>
        <v>278.21741231699929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3.65</v>
      </c>
      <c r="AI8" s="14">
        <f>IF('Données projet'!$A$62&gt;35,AI7+AH8-AQ7,IF(A8&lt;'Données projet'!$A$62,$AF$205^A8,IF(A8='Données projet'!$A$62,'Données projet'!$B$62,AI7+AH8-AQ7)))</f>
        <v>2.9230127856917649</v>
      </c>
      <c r="AJ8" s="14">
        <f>AI8*VLOOKUP('Données projet'!$B$10,Paramètres!$A$1:$I$89,3,0)*VLOOKUP('Données projet'!$B$10,Paramètres!$A$1:$I$89,5,0)</f>
        <v>2.7815389668642836</v>
      </c>
      <c r="AK8" s="14">
        <f t="shared" si="35"/>
        <v>1.1379480134288988</v>
      </c>
      <c r="AL8" s="22">
        <f t="shared" si="4"/>
        <v>6.8264398240106265</v>
      </c>
      <c r="AM8" s="62">
        <f t="shared" si="5"/>
        <v>269.60421760178838</v>
      </c>
      <c r="AN8" s="62">
        <f ca="1">AVERAGE(OFFSET($AM$3,0,0,'Données projet'!$E$10+1,1))-AVERAGE(OFFSET($H$3,0,0,'Données projet'!$E$10+1,1))</f>
        <v>449.16408464351673</v>
      </c>
      <c r="AO8" s="62">
        <f t="shared" si="36"/>
        <v>290.39826583283588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3.65</v>
      </c>
      <c r="BD8" s="13">
        <f>IF('Données projet'!$A$88&gt;35,BD7+BC8-BL7,IF(A8&lt;'Données projet'!$A$88,$BA$205^A8,IF(A8='Données projet'!$A$88,'Données projet'!$B$88,BD7+BC8-BL7)))</f>
        <v>2.9230127856917649</v>
      </c>
      <c r="BE8" s="14">
        <f>BD8*VLOOKUP('Données projet'!$B$11,Paramètres!$A$1:$I$89,3,0)*VLOOKUP('Données projet'!$B$11,Paramètres!$A$1:$I$89,5,0)</f>
        <v>2.8271379663210752</v>
      </c>
      <c r="BF8" s="14">
        <f t="shared" si="37"/>
        <v>1.1544158385061292</v>
      </c>
      <c r="BG8" s="22">
        <f t="shared" si="7"/>
        <v>6.9345395434073795</v>
      </c>
      <c r="BH8" s="62">
        <f t="shared" si="8"/>
        <v>269.71231732118514</v>
      </c>
      <c r="BI8" s="62">
        <f ca="1">AVERAGE(OFFSET($BH$3,0,0,'Données projet'!$E$11+1,1))-AVERAGE(OFFSET($H$3,0,0,'Données projet'!$E$11+1,1))</f>
        <v>455.85294519779609</v>
      </c>
      <c r="BJ8" s="62">
        <f t="shared" si="38"/>
        <v>294.45557293177131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7.1333333333333337</v>
      </c>
      <c r="BY8" s="13">
        <f>IF('Données projet'!$A$114&gt;35,BY7+BX8-CG7,IF(A8&lt;'Données projet'!$A$114,$BV$205^A8,IF(A8='Données projet'!$A$114,'Données projet'!$B$114,BY7+BX8-CG7)))</f>
        <v>4.7474593985233984</v>
      </c>
      <c r="BZ8" s="14">
        <f>BY8*VLOOKUP('Données projet'!$B$12,Paramètres!$A$1:$I$89,3,0)*VLOOKUP('Données projet'!$B$12,Paramètres!$A$1:$I$89,5,0)</f>
        <v>4.1473805305500413</v>
      </c>
      <c r="CA8" s="14">
        <f t="shared" si="39"/>
        <v>1.6196346870133109</v>
      </c>
      <c r="CB8" s="22">
        <f t="shared" si="10"/>
        <v>10.044218170589504</v>
      </c>
      <c r="CC8" s="62">
        <f t="shared" si="11"/>
        <v>272.82199594836726</v>
      </c>
      <c r="CD8" s="62">
        <f ca="1">AVERAGE(OFFSET($CC$3,0,0,'Données projet'!$E$12+1,1))-AVERAGE(OFFSET($H$3,0,0,'Données projet'!$E$12+1,1))</f>
        <v>304.32767345253382</v>
      </c>
      <c r="CE8" s="62">
        <f t="shared" si="40"/>
        <v>427.16091343339173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11.6</v>
      </c>
      <c r="CT8" s="13">
        <f>IF('Données projet'!$A$140&gt;35,CT7+CS8-DB7,IF(A8&lt;'Données projet'!$A$140,$CQ$205^A8,IF(A8='Données projet'!$A$140,'Données projet'!$B$140,CT7+CS8-DB7)))</f>
        <v>5.5827701716584244</v>
      </c>
      <c r="CU8" s="18">
        <f>CT8*VLOOKUP('Données projet'!$B$13,Paramètres!$A$1:$I$89,3,0)*VLOOKUP('Données projet'!$B$13,Paramètres!$A$1:$I$89,5,0)</f>
        <v>5.0512904513165422</v>
      </c>
      <c r="CV8" s="14">
        <f t="shared" si="41"/>
        <v>1.9278727897183425</v>
      </c>
      <c r="CW8" s="22">
        <f t="shared" si="13"/>
        <v>12.155375978135757</v>
      </c>
      <c r="CX8" s="62">
        <f t="shared" si="14"/>
        <v>274.93315375591351</v>
      </c>
      <c r="CY8" s="62">
        <f ca="1">AVERAGE(OFFSET($CX$3,0,0,'Données projet'!$E$13+1,1))-AVERAGE(OFFSET($H$3,0,0,'Données projet'!$E$13+1,1))</f>
        <v>350.06545824795847</v>
      </c>
      <c r="CZ8" s="62">
        <f t="shared" si="42"/>
        <v>513.80016421153414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3.65</v>
      </c>
      <c r="DO8" s="13">
        <f>IF('Données projet'!$A$166&gt;35,DO7+DN8-DW7,IF(A8&lt;'Données projet'!$A$166,$DL$205^A8,IF(A8='Données projet'!$A$166,'Données projet'!$B$166,DO7+DN8-DW7)))</f>
        <v>2.9230127856917649</v>
      </c>
      <c r="DP8" s="18">
        <f>DO8*VLOOKUP('Données projet'!$B$14,Paramètres!$A$1:$I$89,3,0)*VLOOKUP('Données projet'!$B$14,Paramètres!$A$1:$I$89,5,0)</f>
        <v>2.3255489722963683</v>
      </c>
      <c r="DQ8" s="14">
        <f t="shared" si="43"/>
        <v>0.97143553836993124</v>
      </c>
      <c r="DR8" s="22">
        <f t="shared" si="16"/>
        <v>5.7422480227438051</v>
      </c>
      <c r="DS8" s="62">
        <f t="shared" si="17"/>
        <v>268.52002580052158</v>
      </c>
      <c r="DT8" s="62">
        <f ca="1">AVERAGE(OFFSET($DS$3,0,0,'Données projet'!$E$14+1,1))-AVERAGE(OFFSET($H$3,0,0,'Données projet'!$E$14+1,1))</f>
        <v>382.14353215900121</v>
      </c>
      <c r="DU8" s="62">
        <f t="shared" si="44"/>
        <v>249.73945975250177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3.65</v>
      </c>
      <c r="N9" s="14">
        <f>IF('Données projet'!$A$36&gt;35,N8+M9-V8,IF(A9&lt;'Données projet'!$A$36,$K$205^A9,IF(A9='Données projet'!$A$36,'Données projet'!$B$36,N8+M9-V8)))</f>
        <v>3.6224037772879885</v>
      </c>
      <c r="O9" s="14">
        <f>N9*VLOOKUP('Données projet'!$B$9,Paramètres!$A$1:$I$89,3,0)*VLOOKUP('Données projet'!$B$9,Paramètres!$A$1:$I$89,5,0)</f>
        <v>3.2775509376901719</v>
      </c>
      <c r="P9" s="14">
        <f t="shared" si="33"/>
        <v>1.315502139804245</v>
      </c>
      <c r="Q9" s="22">
        <f t="shared" si="2"/>
        <v>7.9995674433027766</v>
      </c>
      <c r="R9" s="62">
        <f t="shared" si="0"/>
        <v>271.99956744330279</v>
      </c>
      <c r="S9" s="62">
        <f ca="1">AVERAGE(OFFSET($R$3,0,0,'Données projet'!$E$9+1,1))-AVERAGE(OFFSET($H$3,0,0,'Données projet'!$E$9+1,1))</f>
        <v>429.08375622925655</v>
      </c>
      <c r="T9" s="62">
        <f t="shared" si="34"/>
        <v>278.21741231699929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3.65</v>
      </c>
      <c r="AI9" s="14">
        <f>IF('Données projet'!$A$62&gt;35,AI8+AH9-AQ8,IF(A9&lt;'Données projet'!$A$62,$AF$205^A9,IF(A9='Données projet'!$A$62,'Données projet'!$B$62,AI8+AH9-AQ8)))</f>
        <v>3.6224037772879885</v>
      </c>
      <c r="AJ9" s="14">
        <f>AI9*VLOOKUP('Données projet'!$B$10,Paramètres!$A$1:$I$89,3,0)*VLOOKUP('Données projet'!$B$10,Paramètres!$A$1:$I$89,5,0)</f>
        <v>3.4470794344672502</v>
      </c>
      <c r="AK9" s="14">
        <f t="shared" si="35"/>
        <v>1.3754475242842723</v>
      </c>
      <c r="AL9" s="22">
        <f t="shared" si="4"/>
        <v>8.3992344531589023</v>
      </c>
      <c r="AM9" s="62">
        <f t="shared" si="5"/>
        <v>272.3992344531589</v>
      </c>
      <c r="AN9" s="62">
        <f ca="1">AVERAGE(OFFSET($AM$3,0,0,'Données projet'!$E$10+1,1))-AVERAGE(OFFSET($H$3,0,0,'Données projet'!$E$10+1,1))</f>
        <v>449.16408464351673</v>
      </c>
      <c r="AO9" s="62">
        <f t="shared" si="36"/>
        <v>290.39826583283588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3.65</v>
      </c>
      <c r="BD9" s="13">
        <f>IF('Données projet'!$A$88&gt;35,BD8+BC9-BL8,IF(A9&lt;'Données projet'!$A$88,$BA$205^A9,IF(A9='Données projet'!$A$88,'Données projet'!$B$88,BD8+BC9-BL8)))</f>
        <v>3.6224037772879885</v>
      </c>
      <c r="BE9" s="14">
        <f>BD9*VLOOKUP('Données projet'!$B$11,Paramètres!$A$1:$I$89,3,0)*VLOOKUP('Données projet'!$B$11,Paramètres!$A$1:$I$89,5,0)</f>
        <v>3.5035889333929422</v>
      </c>
      <c r="BF9" s="14">
        <f t="shared" si="37"/>
        <v>1.3953523257036018</v>
      </c>
      <c r="BG9" s="22">
        <f t="shared" si="7"/>
        <v>8.5323226929264795</v>
      </c>
      <c r="BH9" s="62">
        <f t="shared" si="8"/>
        <v>272.53232269292647</v>
      </c>
      <c r="BI9" s="62">
        <f ca="1">AVERAGE(OFFSET($BH$3,0,0,'Données projet'!$E$11+1,1))-AVERAGE(OFFSET($H$3,0,0,'Données projet'!$E$11+1,1))</f>
        <v>455.85294519779609</v>
      </c>
      <c r="BJ9" s="62">
        <f t="shared" si="38"/>
        <v>294.45557293177131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7.1333333333333337</v>
      </c>
      <c r="BY9" s="13">
        <f>IF('Données projet'!$A$114&gt;35,BY8+BX9-CG8,IF(A9&lt;'Données projet'!$A$114,$BV$205^A9,IF(A9='Données projet'!$A$114,'Données projet'!$B$114,BY8+BX9-CG8)))</f>
        <v>6.4826639792067677</v>
      </c>
      <c r="BZ9" s="14">
        <f>BY9*VLOOKUP('Données projet'!$B$12,Paramètres!$A$1:$I$89,3,0)*VLOOKUP('Données projet'!$B$12,Paramètres!$A$1:$I$89,5,0)</f>
        <v>5.6632552522350332</v>
      </c>
      <c r="CA9" s="14">
        <f t="shared" si="39"/>
        <v>2.1328548607386395</v>
      </c>
      <c r="CB9" s="22">
        <f t="shared" si="10"/>
        <v>13.578225113429147</v>
      </c>
      <c r="CC9" s="62">
        <f t="shared" si="11"/>
        <v>277.57822511342914</v>
      </c>
      <c r="CD9" s="62">
        <f ca="1">AVERAGE(OFFSET($CC$3,0,0,'Données projet'!$E$12+1,1))-AVERAGE(OFFSET($H$3,0,0,'Données projet'!$E$12+1,1))</f>
        <v>304.32767345253382</v>
      </c>
      <c r="CE9" s="62">
        <f t="shared" si="40"/>
        <v>427.16091343339173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11.6</v>
      </c>
      <c r="CT9" s="13">
        <f>IF('Données projet'!$A$140&gt;35,CT8+CS9-DB8,IF(A9&lt;'Données projet'!$A$140,$CQ$205^A9,IF(A9='Données projet'!$A$140,'Données projet'!$B$140,CT8+CS9-DB8)))</f>
        <v>7.8744403828059948</v>
      </c>
      <c r="CU9" s="18">
        <f>CT9*VLOOKUP('Données projet'!$B$13,Paramètres!$A$1:$I$89,3,0)*VLOOKUP('Données projet'!$B$13,Paramètres!$A$1:$I$89,5,0)</f>
        <v>7.1247936583628642</v>
      </c>
      <c r="CV9" s="14">
        <f t="shared" si="41"/>
        <v>2.6125322570235077</v>
      </c>
      <c r="CW9" s="22">
        <f t="shared" si="13"/>
        <v>16.959175969297927</v>
      </c>
      <c r="CX9" s="62">
        <f t="shared" si="14"/>
        <v>280.95917596929792</v>
      </c>
      <c r="CY9" s="62">
        <f ca="1">AVERAGE(OFFSET($CX$3,0,0,'Données projet'!$E$13+1,1))-AVERAGE(OFFSET($H$3,0,0,'Données projet'!$E$13+1,1))</f>
        <v>350.06545824795847</v>
      </c>
      <c r="CZ9" s="62">
        <f t="shared" si="42"/>
        <v>513.80016421153414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3.65</v>
      </c>
      <c r="DO9" s="13">
        <f>IF('Données projet'!$A$166&gt;35,DO8+DN9-DW8,IF(A9&lt;'Données projet'!$A$166,$DL$205^A9,IF(A9='Données projet'!$A$166,'Données projet'!$B$166,DO8+DN9-DW8)))</f>
        <v>3.6224037772879885</v>
      </c>
      <c r="DP9" s="18">
        <f>DO9*VLOOKUP('Données projet'!$B$14,Paramètres!$A$1:$I$89,3,0)*VLOOKUP('Données projet'!$B$14,Paramètres!$A$1:$I$89,5,0)</f>
        <v>2.8819844452103238</v>
      </c>
      <c r="DQ9" s="14">
        <f t="shared" si="43"/>
        <v>1.1741824674631036</v>
      </c>
      <c r="DR9" s="22">
        <f t="shared" si="16"/>
        <v>7.0644907062395532</v>
      </c>
      <c r="DS9" s="62">
        <f t="shared" si="17"/>
        <v>271.06449070623955</v>
      </c>
      <c r="DT9" s="62">
        <f ca="1">AVERAGE(OFFSET($DS$3,0,0,'Données projet'!$E$14+1,1))-AVERAGE(OFFSET($H$3,0,0,'Données projet'!$E$14+1,1))</f>
        <v>382.14353215900121</v>
      </c>
      <c r="DU9" s="62">
        <f t="shared" si="44"/>
        <v>249.73945975250177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3.65</v>
      </c>
      <c r="N10" s="14">
        <f>IF('Données projet'!$A$36&gt;35,N9+M10-V9,IF(A10&lt;'Données projet'!$A$36,$K$205^A10,IF(A10='Données projet'!$A$36,'Données projet'!$B$36,N9+M10-V9)))</f>
        <v>4.4891384635544309</v>
      </c>
      <c r="O10" s="14">
        <f>N10*VLOOKUP('Données projet'!$B$9,Paramètres!$A$1:$I$89,3,0)*VLOOKUP('Données projet'!$B$9,Paramètres!$A$1:$I$89,5,0)</f>
        <v>4.0617724818240486</v>
      </c>
      <c r="P10" s="14">
        <f t="shared" si="33"/>
        <v>1.590058719758437</v>
      </c>
      <c r="Q10" s="22">
        <f t="shared" si="2"/>
        <v>9.8436060094228282</v>
      </c>
      <c r="R10" s="62">
        <f t="shared" si="0"/>
        <v>275.06582823164507</v>
      </c>
      <c r="S10" s="62">
        <f ca="1">AVERAGE(OFFSET($R$3,0,0,'Données projet'!$E$9+1,1))-AVERAGE(OFFSET($H$3,0,0,'Données projet'!$E$9+1,1))</f>
        <v>429.08375622925655</v>
      </c>
      <c r="T10" s="62">
        <f t="shared" si="34"/>
        <v>278.21741231699929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3.65</v>
      </c>
      <c r="AI10" s="14">
        <f>IF('Données projet'!$A$62&gt;35,AI9+AH10-AQ9,IF(A10&lt;'Données projet'!$A$62,$AF$205^A10,IF(A10='Données projet'!$A$62,'Données projet'!$B$62,AI9+AH10-AQ9)))</f>
        <v>4.4891384635544309</v>
      </c>
      <c r="AJ10" s="14">
        <f>AI10*VLOOKUP('Données projet'!$B$10,Paramètres!$A$1:$I$89,3,0)*VLOOKUP('Données projet'!$B$10,Paramètres!$A$1:$I$89,5,0)</f>
        <v>4.2718641619183968</v>
      </c>
      <c r="AK10" s="14">
        <f t="shared" si="35"/>
        <v>1.6625152201453717</v>
      </c>
      <c r="AL10" s="22">
        <f t="shared" si="4"/>
        <v>10.335710757094397</v>
      </c>
      <c r="AM10" s="62">
        <f t="shared" si="5"/>
        <v>275.5579329793166</v>
      </c>
      <c r="AN10" s="62">
        <f ca="1">AVERAGE(OFFSET($AM$3,0,0,'Données projet'!$E$10+1,1))-AVERAGE(OFFSET($H$3,0,0,'Données projet'!$E$10+1,1))</f>
        <v>449.16408464351673</v>
      </c>
      <c r="AO10" s="62">
        <f t="shared" si="36"/>
        <v>290.39826583283588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3.65</v>
      </c>
      <c r="BD10" s="13">
        <f>IF('Données projet'!$A$88&gt;35,BD9+BC10-BL9,IF(A10&lt;'Données projet'!$A$88,$BA$205^A10,IF(A10='Données projet'!$A$88,'Données projet'!$B$88,BD9+BC10-BL9)))</f>
        <v>4.4891384635544309</v>
      </c>
      <c r="BE10" s="14">
        <f>BD10*VLOOKUP('Données projet'!$B$11,Paramètres!$A$1:$I$89,3,0)*VLOOKUP('Données projet'!$B$11,Paramètres!$A$1:$I$89,5,0)</f>
        <v>4.3418947219498456</v>
      </c>
      <c r="BF10" s="14">
        <f t="shared" si="37"/>
        <v>1.6865743243491664</v>
      </c>
      <c r="BG10" s="22">
        <f t="shared" si="7"/>
        <v>10.499583588970779</v>
      </c>
      <c r="BH10" s="62">
        <f t="shared" si="8"/>
        <v>275.72180581119301</v>
      </c>
      <c r="BI10" s="62">
        <f ca="1">AVERAGE(OFFSET($BH$3,0,0,'Données projet'!$E$11+1,1))-AVERAGE(OFFSET($H$3,0,0,'Données projet'!$E$11+1,1))</f>
        <v>455.85294519779609</v>
      </c>
      <c r="BJ10" s="62">
        <f t="shared" si="38"/>
        <v>294.45557293177131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7.1333333333333337</v>
      </c>
      <c r="BY10" s="13">
        <f>IF('Données projet'!$A$114&gt;35,BY9+BX10-CG9,IF(A10&lt;'Données projet'!$A$114,$BV$205^A10,IF(A10='Données projet'!$A$114,'Données projet'!$B$114,BY9+BX10-CG9)))</f>
        <v>8.8520888204701524</v>
      </c>
      <c r="BZ10" s="14">
        <f>BY10*VLOOKUP('Données projet'!$B$12,Paramètres!$A$1:$I$89,3,0)*VLOOKUP('Données projet'!$B$12,Paramètres!$A$1:$I$89,5,0)</f>
        <v>7.7331847935627263</v>
      </c>
      <c r="CA10" s="14">
        <f t="shared" si="39"/>
        <v>2.8087011802427866</v>
      </c>
      <c r="CB10" s="22">
        <f t="shared" si="10"/>
        <v>18.360451404377937</v>
      </c>
      <c r="CC10" s="62">
        <f t="shared" si="11"/>
        <v>283.58267362660018</v>
      </c>
      <c r="CD10" s="62">
        <f ca="1">AVERAGE(OFFSET($CC$3,0,0,'Données projet'!$E$12+1,1))-AVERAGE(OFFSET($H$3,0,0,'Données projet'!$E$12+1,1))</f>
        <v>304.32767345253382</v>
      </c>
      <c r="CE10" s="62">
        <f t="shared" si="40"/>
        <v>427.16091343339173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11.6</v>
      </c>
      <c r="CT10" s="13">
        <f>IF('Données projet'!$A$140&gt;35,CT9+CS10-DB9,IF(A10&lt;'Données projet'!$A$140,$CQ$205^A10,IF(A10='Données projet'!$A$140,'Données projet'!$B$140,CT9+CS10-DB9)))</f>
        <v>11.106817840567849</v>
      </c>
      <c r="CU10" s="18">
        <f>CT10*VLOOKUP('Données projet'!$B$13,Paramètres!$A$1:$I$89,3,0)*VLOOKUP('Données projet'!$B$13,Paramètres!$A$1:$I$89,5,0)</f>
        <v>10.04944878214579</v>
      </c>
      <c r="CV10" s="14">
        <f t="shared" si="41"/>
        <v>3.5403398141147631</v>
      </c>
      <c r="CW10" s="22">
        <f t="shared" si="13"/>
        <v>23.668881805153791</v>
      </c>
      <c r="CX10" s="62">
        <f t="shared" si="14"/>
        <v>288.891104027376</v>
      </c>
      <c r="CY10" s="62">
        <f ca="1">AVERAGE(OFFSET($CX$3,0,0,'Données projet'!$E$13+1,1))-AVERAGE(OFFSET($H$3,0,0,'Données projet'!$E$13+1,1))</f>
        <v>350.06545824795847</v>
      </c>
      <c r="CZ10" s="62">
        <f t="shared" si="42"/>
        <v>513.80016421153414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3.65</v>
      </c>
      <c r="DO10" s="13">
        <f>IF('Données projet'!$A$166&gt;35,DO9+DN10-DW9,IF(A10&lt;'Données projet'!$A$166,$DL$205^A10,IF(A10='Données projet'!$A$166,'Données projet'!$B$166,DO9+DN10-DW9)))</f>
        <v>4.4891384635544309</v>
      </c>
      <c r="DP10" s="18">
        <f>DO10*VLOOKUP('Données projet'!$B$14,Paramètres!$A$1:$I$89,3,0)*VLOOKUP('Données projet'!$B$14,Paramètres!$A$1:$I$89,5,0)</f>
        <v>3.5715585616039056</v>
      </c>
      <c r="DQ10" s="14">
        <f t="shared" si="43"/>
        <v>1.4192444196670095</v>
      </c>
      <c r="DR10" s="22">
        <f t="shared" si="16"/>
        <v>8.6923151923801765</v>
      </c>
      <c r="DS10" s="62">
        <f t="shared" si="17"/>
        <v>273.91453741460242</v>
      </c>
      <c r="DT10" s="62">
        <f ca="1">AVERAGE(OFFSET($DS$3,0,0,'Données projet'!$E$14+1,1))-AVERAGE(OFFSET($H$3,0,0,'Données projet'!$E$14+1,1))</f>
        <v>382.14353215900121</v>
      </c>
      <c r="DU10" s="62">
        <f t="shared" si="44"/>
        <v>249.73945975250177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3.65</v>
      </c>
      <c r="N11" s="14">
        <f>IF('Données projet'!$A$36&gt;35,N10+M11-V10,IF(A11&lt;'Données projet'!$A$36,$K$205^A11,IF(A11='Données projet'!$A$36,'Données projet'!$B$36,N10+M11-V10)))</f>
        <v>5.563257268920875</v>
      </c>
      <c r="O11" s="14">
        <f>N11*VLOOKUP('Données projet'!$B$9,Paramètres!$A$1:$I$89,3,0)*VLOOKUP('Données projet'!$B$9,Paramètres!$A$1:$I$89,5,0)</f>
        <v>5.0336351769196082</v>
      </c>
      <c r="P11" s="14">
        <f t="shared" si="33"/>
        <v>1.9219176128866391</v>
      </c>
      <c r="Q11" s="22">
        <f t="shared" si="2"/>
        <v>12.11425444224588</v>
      </c>
      <c r="R11" s="62">
        <f t="shared" si="0"/>
        <v>278.55869888669031</v>
      </c>
      <c r="S11" s="62">
        <f ca="1">AVERAGE(OFFSET($R$3,0,0,'Données projet'!$E$9+1,1))-AVERAGE(OFFSET($H$3,0,0,'Données projet'!$E$9+1,1))</f>
        <v>429.08375622925655</v>
      </c>
      <c r="T11" s="62">
        <f t="shared" si="34"/>
        <v>278.21741231699929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3.65</v>
      </c>
      <c r="AI11" s="14">
        <f>IF('Données projet'!$A$62&gt;35,AI10+AH11-AQ10,IF(A11&lt;'Données projet'!$A$62,$AF$205^A11,IF(A11='Données projet'!$A$62,'Données projet'!$B$62,AI10+AH11-AQ10)))</f>
        <v>5.563257268920875</v>
      </c>
      <c r="AJ11" s="14">
        <f>AI11*VLOOKUP('Données projet'!$B$10,Paramètres!$A$1:$I$89,3,0)*VLOOKUP('Données projet'!$B$10,Paramètres!$A$1:$I$89,5,0)</f>
        <v>5.2939956171051046</v>
      </c>
      <c r="AK11" s="14">
        <f t="shared" si="35"/>
        <v>2.0094964063810909</v>
      </c>
      <c r="AL11" s="22">
        <f t="shared" si="4"/>
        <v>12.72024860757179</v>
      </c>
      <c r="AM11" s="62">
        <f t="shared" si="5"/>
        <v>279.16469305201622</v>
      </c>
      <c r="AN11" s="62">
        <f ca="1">AVERAGE(OFFSET($AM$3,0,0,'Données projet'!$E$10+1,1))-AVERAGE(OFFSET($H$3,0,0,'Données projet'!$E$10+1,1))</f>
        <v>449.16408464351673</v>
      </c>
      <c r="AO11" s="62">
        <f t="shared" si="36"/>
        <v>290.39826583283588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3.65</v>
      </c>
      <c r="BD11" s="13">
        <f>IF('Données projet'!$A$88&gt;35,BD10+BC11-BL10,IF(A11&lt;'Données projet'!$A$88,$BA$205^A11,IF(A11='Données projet'!$A$88,'Données projet'!$B$88,BD10+BC11-BL10)))</f>
        <v>5.563257268920875</v>
      </c>
      <c r="BE11" s="14">
        <f>BD11*VLOOKUP('Données projet'!$B$11,Paramètres!$A$1:$I$89,3,0)*VLOOKUP('Données projet'!$B$11,Paramètres!$A$1:$I$89,5,0)</f>
        <v>5.3807824305002701</v>
      </c>
      <c r="BF11" s="14">
        <f t="shared" si="37"/>
        <v>2.0385768519929188</v>
      </c>
      <c r="BG11" s="22">
        <f t="shared" si="7"/>
        <v>12.922050750342303</v>
      </c>
      <c r="BH11" s="62">
        <f t="shared" si="8"/>
        <v>279.36649519478675</v>
      </c>
      <c r="BI11" s="62">
        <f ca="1">AVERAGE(OFFSET($BH$3,0,0,'Données projet'!$E$11+1,1))-AVERAGE(OFFSET($H$3,0,0,'Données projet'!$E$11+1,1))</f>
        <v>455.85294519779609</v>
      </c>
      <c r="BJ11" s="62">
        <f t="shared" si="38"/>
        <v>294.45557293177131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7.1333333333333337</v>
      </c>
      <c r="BY11" s="13">
        <f>IF('Données projet'!$A$114&gt;35,BY10+BX11-CG10,IF(A11&lt;'Données projet'!$A$114,$BV$205^A11,IF(A11='Données projet'!$A$114,'Données projet'!$B$114,BY10+BX11-CG10)))</f>
        <v>12.087542519068045</v>
      </c>
      <c r="BZ11" s="14">
        <f>BY11*VLOOKUP('Données projet'!$B$12,Paramètres!$A$1:$I$89,3,0)*VLOOKUP('Données projet'!$B$12,Paramètres!$A$1:$I$89,5,0)</f>
        <v>10.559677144657845</v>
      </c>
      <c r="CA11" s="14">
        <f t="shared" si="39"/>
        <v>3.6987056480557761</v>
      </c>
      <c r="CB11" s="22">
        <f t="shared" si="10"/>
        <v>24.83335003064289</v>
      </c>
      <c r="CC11" s="62">
        <f t="shared" si="11"/>
        <v>291.27779447508738</v>
      </c>
      <c r="CD11" s="62">
        <f ca="1">AVERAGE(OFFSET($CC$3,0,0,'Données projet'!$E$12+1,1))-AVERAGE(OFFSET($H$3,0,0,'Données projet'!$E$12+1,1))</f>
        <v>304.32767345253382</v>
      </c>
      <c r="CE11" s="62">
        <f t="shared" si="40"/>
        <v>427.16091343339173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11.6</v>
      </c>
      <c r="CT11" s="13">
        <f>IF('Données projet'!$A$140&gt;35,CT10+CS11-DB10,IF(A11&lt;'Données projet'!$A$140,$CQ$205^A11,IF(A11='Données projet'!$A$140,'Données projet'!$B$140,CT10+CS11-DB10)))</f>
        <v>15.666053274454713</v>
      </c>
      <c r="CU11" s="18">
        <f>CT11*VLOOKUP('Données projet'!$B$13,Paramètres!$A$1:$I$89,3,0)*VLOOKUP('Données projet'!$B$13,Paramètres!$A$1:$I$89,5,0)</f>
        <v>14.174645002726624</v>
      </c>
      <c r="CV11" s="14">
        <f t="shared" si="41"/>
        <v>4.7976464082729855</v>
      </c>
      <c r="CW11" s="22">
        <f t="shared" si="13"/>
        <v>33.043407540824319</v>
      </c>
      <c r="CX11" s="62">
        <f t="shared" si="14"/>
        <v>299.48785198526878</v>
      </c>
      <c r="CY11" s="62">
        <f ca="1">AVERAGE(OFFSET($CX$3,0,0,'Données projet'!$E$13+1,1))-AVERAGE(OFFSET($H$3,0,0,'Données projet'!$E$13+1,1))</f>
        <v>350.06545824795847</v>
      </c>
      <c r="CZ11" s="62">
        <f t="shared" si="42"/>
        <v>513.80016421153414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3.65</v>
      </c>
      <c r="DO11" s="13">
        <f>IF('Données projet'!$A$166&gt;35,DO10+DN11-DW10,IF(A11&lt;'Données projet'!$A$166,$DL$205^A11,IF(A11='Données projet'!$A$166,'Données projet'!$B$166,DO10+DN11-DW10)))</f>
        <v>5.563257268920875</v>
      </c>
      <c r="DP11" s="18">
        <f>DO11*VLOOKUP('Données projet'!$B$14,Paramètres!$A$1:$I$89,3,0)*VLOOKUP('Données projet'!$B$14,Paramètres!$A$1:$I$89,5,0)</f>
        <v>4.4261274831534481</v>
      </c>
      <c r="DQ11" s="14">
        <f t="shared" si="43"/>
        <v>1.7154529032509516</v>
      </c>
      <c r="DR11" s="22">
        <f t="shared" si="16"/>
        <v>10.696585839654327</v>
      </c>
      <c r="DS11" s="62">
        <f t="shared" si="17"/>
        <v>277.1410302840988</v>
      </c>
      <c r="DT11" s="62">
        <f ca="1">AVERAGE(OFFSET($DS$3,0,0,'Données projet'!$E$14+1,1))-AVERAGE(OFFSET($H$3,0,0,'Données projet'!$E$14+1,1))</f>
        <v>382.14353215900121</v>
      </c>
      <c r="DU11" s="62">
        <f t="shared" si="44"/>
        <v>249.73945975250177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3.65</v>
      </c>
      <c r="N12" s="14">
        <f>IF('Données projet'!$A$36&gt;35,N11+M12-V11,IF(A12&lt;'Données projet'!$A$36,$K$205^A12,IF(A12='Données projet'!$A$36,'Données projet'!$B$36,N11+M12-V11)))</f>
        <v>6.8943811137639424</v>
      </c>
      <c r="O12" s="14">
        <f>N12*VLOOKUP('Données projet'!$B$9,Paramètres!$A$1:$I$89,3,0)*VLOOKUP('Données projet'!$B$9,Paramètres!$A$1:$I$89,5,0)</f>
        <v>6.2380360317336141</v>
      </c>
      <c r="P12" s="14">
        <f t="shared" si="33"/>
        <v>2.3230383034439352</v>
      </c>
      <c r="Q12" s="22">
        <f t="shared" si="2"/>
        <v>14.910537800434229</v>
      </c>
      <c r="R12" s="62">
        <f t="shared" si="0"/>
        <v>282.5772044671009</v>
      </c>
      <c r="S12" s="62">
        <f ca="1">AVERAGE(OFFSET($R$3,0,0,'Données projet'!$E$9+1,1))-AVERAGE(OFFSET($H$3,0,0,'Données projet'!$E$9+1,1))</f>
        <v>429.08375622925655</v>
      </c>
      <c r="T12" s="62">
        <f t="shared" si="34"/>
        <v>278.21741231699929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3.65</v>
      </c>
      <c r="AI12" s="14">
        <f>IF('Données projet'!$A$62&gt;35,AI11+AH12-AQ11,IF(A12&lt;'Données projet'!$A$62,$AF$205^A12,IF(A12='Données projet'!$A$62,'Données projet'!$B$62,AI11+AH12-AQ11)))</f>
        <v>6.8943811137639424</v>
      </c>
      <c r="AJ12" s="14">
        <f>AI12*VLOOKUP('Données projet'!$B$10,Paramètres!$A$1:$I$89,3,0)*VLOOKUP('Données projet'!$B$10,Paramètres!$A$1:$I$89,5,0)</f>
        <v>6.560693067857768</v>
      </c>
      <c r="AK12" s="14">
        <f t="shared" si="35"/>
        <v>2.4288955423249754</v>
      </c>
      <c r="AL12" s="22">
        <f t="shared" si="4"/>
        <v>15.65686682940161</v>
      </c>
      <c r="AM12" s="62">
        <f t="shared" si="5"/>
        <v>283.32353349606831</v>
      </c>
      <c r="AN12" s="62">
        <f ca="1">AVERAGE(OFFSET($AM$3,0,0,'Données projet'!$E$10+1,1))-AVERAGE(OFFSET($H$3,0,0,'Données projet'!$E$10+1,1))</f>
        <v>449.16408464351673</v>
      </c>
      <c r="AO12" s="62">
        <f t="shared" si="36"/>
        <v>290.39826583283588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3.65</v>
      </c>
      <c r="BD12" s="13">
        <f>IF('Données projet'!$A$88&gt;35,BD11+BC12-BL11,IF(A12&lt;'Données projet'!$A$88,$BA$205^A12,IF(A12='Données projet'!$A$88,'Données projet'!$B$88,BD11+BC12-BL11)))</f>
        <v>6.8943811137639424</v>
      </c>
      <c r="BE12" s="14">
        <f>BD12*VLOOKUP('Données projet'!$B$11,Paramètres!$A$1:$I$89,3,0)*VLOOKUP('Données projet'!$B$11,Paramètres!$A$1:$I$89,5,0)</f>
        <v>6.6682454132324853</v>
      </c>
      <c r="BF12" s="14">
        <f t="shared" si="37"/>
        <v>2.4640453263659414</v>
      </c>
      <c r="BG12" s="22">
        <f t="shared" si="7"/>
        <v>15.905406371467258</v>
      </c>
      <c r="BH12" s="62">
        <f t="shared" si="8"/>
        <v>283.57207303813396</v>
      </c>
      <c r="BI12" s="62">
        <f ca="1">AVERAGE(OFFSET($BH$3,0,0,'Données projet'!$E$11+1,1))-AVERAGE(OFFSET($H$3,0,0,'Données projet'!$E$11+1,1))</f>
        <v>455.85294519779609</v>
      </c>
      <c r="BJ12" s="62">
        <f t="shared" si="38"/>
        <v>294.45557293177131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7.1333333333333337</v>
      </c>
      <c r="BY12" s="13">
        <f>IF('Données projet'!$A$114&gt;35,BY11+BX12-CG11,IF(A12&lt;'Données projet'!$A$114,$BV$205^A12,IF(A12='Données projet'!$A$114,'Données projet'!$B$114,BY11+BX12-CG11)))</f>
        <v>16.505560112818404</v>
      </c>
      <c r="BZ12" s="14">
        <f>BY12*VLOOKUP('Données projet'!$B$12,Paramètres!$A$1:$I$89,3,0)*VLOOKUP('Données projet'!$B$12,Paramètres!$A$1:$I$89,5,0)</f>
        <v>14.419257314558161</v>
      </c>
      <c r="CA12" s="14">
        <f t="shared" si="39"/>
        <v>4.870729420129039</v>
      </c>
      <c r="CB12" s="22">
        <f t="shared" si="10"/>
        <v>33.596726896246878</v>
      </c>
      <c r="CC12" s="62">
        <f t="shared" si="11"/>
        <v>301.26339356291356</v>
      </c>
      <c r="CD12" s="62">
        <f ca="1">AVERAGE(OFFSET($CC$3,0,0,'Données projet'!$E$12+1,1))-AVERAGE(OFFSET($H$3,0,0,'Données projet'!$E$12+1,1))</f>
        <v>304.32767345253382</v>
      </c>
      <c r="CE12" s="62">
        <f t="shared" si="40"/>
        <v>427.16091343339173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11.6</v>
      </c>
      <c r="CT12" s="13">
        <f>IF('Données projet'!$A$140&gt;35,CT11+CS12-DB11,IF(A12&lt;'Données projet'!$A$140,$CQ$205^A12,IF(A12='Données projet'!$A$140,'Données projet'!$B$140,CT11+CS12-DB11)))</f>
        <v>22.096808349699696</v>
      </c>
      <c r="CU12" s="18">
        <f>CT12*VLOOKUP('Données projet'!$B$13,Paramètres!$A$1:$I$89,3,0)*VLOOKUP('Données projet'!$B$13,Paramètres!$A$1:$I$89,5,0)</f>
        <v>19.993192194808284</v>
      </c>
      <c r="CV12" s="14">
        <f t="shared" si="41"/>
        <v>6.5014694259144221</v>
      </c>
      <c r="CW12" s="22">
        <f t="shared" si="13"/>
        <v>46.144868989425383</v>
      </c>
      <c r="CX12" s="62">
        <f t="shared" si="14"/>
        <v>313.81153565609208</v>
      </c>
      <c r="CY12" s="62">
        <f ca="1">AVERAGE(OFFSET($CX$3,0,0,'Données projet'!$E$13+1,1))-AVERAGE(OFFSET($H$3,0,0,'Données projet'!$E$13+1,1))</f>
        <v>350.06545824795847</v>
      </c>
      <c r="CZ12" s="62">
        <f t="shared" si="42"/>
        <v>513.80016421153414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3.65</v>
      </c>
      <c r="DO12" s="13">
        <f>IF('Données projet'!$A$166&gt;35,DO11+DN12-DW11,IF(A12&lt;'Données projet'!$A$166,$DL$205^A12,IF(A12='Données projet'!$A$166,'Données projet'!$B$166,DO11+DN12-DW11)))</f>
        <v>6.8943811137639424</v>
      </c>
      <c r="DP12" s="18">
        <f>DO12*VLOOKUP('Données projet'!$B$14,Paramètres!$A$1:$I$89,3,0)*VLOOKUP('Données projet'!$B$14,Paramètres!$A$1:$I$89,5,0)</f>
        <v>5.4851696141105935</v>
      </c>
      <c r="DQ12" s="14">
        <f t="shared" si="43"/>
        <v>2.0734826380099975</v>
      </c>
      <c r="DR12" s="22">
        <f t="shared" si="16"/>
        <v>13.164652672443362</v>
      </c>
      <c r="DS12" s="62">
        <f t="shared" si="17"/>
        <v>280.83131933911005</v>
      </c>
      <c r="DT12" s="62">
        <f ca="1">AVERAGE(OFFSET($DS$3,0,0,'Données projet'!$E$14+1,1))-AVERAGE(OFFSET($H$3,0,0,'Données projet'!$E$14+1,1))</f>
        <v>382.14353215900121</v>
      </c>
      <c r="DU12" s="62">
        <f t="shared" si="44"/>
        <v>249.73945975250177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3.65</v>
      </c>
      <c r="N13" s="14">
        <f>IF('Données projet'!$A$36&gt;35,N12+M13-V12,IF(A13&lt;'Données projet'!$A$36,$K$205^A13,IF(A13='Données projet'!$A$36,'Données projet'!$B$36,N12+M13-V12)))</f>
        <v>8.5440037453175322</v>
      </c>
      <c r="O13" s="14">
        <f>N13*VLOOKUP('Données projet'!$B$9,Paramètres!$A$1:$I$89,3,0)*VLOOKUP('Données projet'!$B$9,Paramètres!$A$1:$I$89,5,0)</f>
        <v>7.7306145887633031</v>
      </c>
      <c r="P13" s="14">
        <f t="shared" si="33"/>
        <v>2.8078763226288115</v>
      </c>
      <c r="Q13" s="22">
        <f t="shared" si="2"/>
        <v>18.354538337341264</v>
      </c>
      <c r="R13" s="62">
        <f t="shared" si="0"/>
        <v>287.2434272262301</v>
      </c>
      <c r="S13" s="62">
        <f ca="1">AVERAGE(OFFSET($R$3,0,0,'Données projet'!$E$9+1,1))-AVERAGE(OFFSET($H$3,0,0,'Données projet'!$E$9+1,1))</f>
        <v>429.08375622925655</v>
      </c>
      <c r="T13" s="62">
        <f t="shared" si="34"/>
        <v>278.21741231699929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3.65</v>
      </c>
      <c r="AI13" s="14">
        <f>IF('Données projet'!$A$62&gt;35,AI12+AH13-AQ12,IF(A13&lt;'Données projet'!$A$62,$AF$205^A13,IF(A13='Données projet'!$A$62,'Données projet'!$B$62,AI12+AH13-AQ12)))</f>
        <v>8.5440037453175322</v>
      </c>
      <c r="AJ13" s="14">
        <f>AI13*VLOOKUP('Données projet'!$B$10,Paramètres!$A$1:$I$89,3,0)*VLOOKUP('Données projet'!$B$10,Paramètres!$A$1:$I$89,5,0)</f>
        <v>8.1304739640441639</v>
      </c>
      <c r="AK13" s="14">
        <f t="shared" si="35"/>
        <v>2.9358268752272259</v>
      </c>
      <c r="AL13" s="22">
        <f t="shared" si="4"/>
        <v>19.273807295064337</v>
      </c>
      <c r="AM13" s="62">
        <f t="shared" si="5"/>
        <v>288.16269618395319</v>
      </c>
      <c r="AN13" s="62">
        <f ca="1">AVERAGE(OFFSET($AM$3,0,0,'Données projet'!$E$10+1,1))-AVERAGE(OFFSET($H$3,0,0,'Données projet'!$E$10+1,1))</f>
        <v>449.16408464351673</v>
      </c>
      <c r="AO13" s="62">
        <f t="shared" si="36"/>
        <v>290.39826583283588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3.65</v>
      </c>
      <c r="BD13" s="13">
        <f>IF('Données projet'!$A$88&gt;35,BD12+BC13-BL12,IF(A13&lt;'Données projet'!$A$88,$BA$205^A13,IF(A13='Données projet'!$A$88,'Données projet'!$B$88,BD12+BC13-BL12)))</f>
        <v>8.5440037453175322</v>
      </c>
      <c r="BE13" s="14">
        <f>BD13*VLOOKUP('Données projet'!$B$11,Paramètres!$A$1:$I$89,3,0)*VLOOKUP('Données projet'!$B$11,Paramètres!$A$1:$I$89,5,0)</f>
        <v>8.2637604224711172</v>
      </c>
      <c r="BF13" s="14">
        <f t="shared" si="37"/>
        <v>2.9783127206856603</v>
      </c>
      <c r="BG13" s="22">
        <f t="shared" si="7"/>
        <v>19.579944057664719</v>
      </c>
      <c r="BH13" s="62">
        <f t="shared" si="8"/>
        <v>288.46883294655356</v>
      </c>
      <c r="BI13" s="62">
        <f ca="1">AVERAGE(OFFSET($BH$3,0,0,'Données projet'!$E$11+1,1))-AVERAGE(OFFSET($H$3,0,0,'Données projet'!$E$11+1,1))</f>
        <v>455.85294519779609</v>
      </c>
      <c r="BJ13" s="62">
        <f t="shared" si="38"/>
        <v>294.45557293177131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7.1333333333333337</v>
      </c>
      <c r="BY13" s="13">
        <f>IF('Données projet'!$A$114&gt;35,BY12+BX13-CG12,IF(A13&lt;'Données projet'!$A$114,$BV$205^A13,IF(A13='Données projet'!$A$114,'Données projet'!$B$114,BY12+BX13-CG12)))</f>
        <v>22.538370740628146</v>
      </c>
      <c r="BZ13" s="14">
        <f>BY13*VLOOKUP('Données projet'!$B$12,Paramètres!$A$1:$I$89,3,0)*VLOOKUP('Données projet'!$B$12,Paramètres!$A$1:$I$89,5,0)</f>
        <v>19.689520679012752</v>
      </c>
      <c r="CA13" s="14">
        <f t="shared" si="39"/>
        <v>6.414137090520053</v>
      </c>
      <c r="CB13" s="22">
        <f t="shared" si="10"/>
        <v>45.463870615269634</v>
      </c>
      <c r="CC13" s="62">
        <f t="shared" si="11"/>
        <v>314.35275950415848</v>
      </c>
      <c r="CD13" s="62">
        <f ca="1">AVERAGE(OFFSET($CC$3,0,0,'Données projet'!$E$12+1,1))-AVERAGE(OFFSET($H$3,0,0,'Données projet'!$E$12+1,1))</f>
        <v>304.32767345253382</v>
      </c>
      <c r="CE13" s="62">
        <f t="shared" si="40"/>
        <v>427.16091343339173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11.6</v>
      </c>
      <c r="CT13" s="13">
        <f>IF('Données projet'!$A$140&gt;35,CT12+CS13-DB12,IF(A13&lt;'Données projet'!$A$140,$CQ$205^A13,IF(A13='Données projet'!$A$140,'Données projet'!$B$140,CT12+CS13-DB12)))</f>
        <v>31.16732278955903</v>
      </c>
      <c r="CU13" s="18">
        <f>CT13*VLOOKUP('Données projet'!$B$13,Paramètres!$A$1:$I$89,3,0)*VLOOKUP('Données projet'!$B$13,Paramètres!$A$1:$I$89,5,0)</f>
        <v>28.200193659993012</v>
      </c>
      <c r="CV13" s="14">
        <f t="shared" si="41"/>
        <v>8.8103834878726879</v>
      </c>
      <c r="CW13" s="22">
        <f t="shared" si="13"/>
        <v>64.460088532532765</v>
      </c>
      <c r="CX13" s="62">
        <f t="shared" si="14"/>
        <v>333.34897742142164</v>
      </c>
      <c r="CY13" s="62">
        <f ca="1">AVERAGE(OFFSET($CX$3,0,0,'Données projet'!$E$13+1,1))-AVERAGE(OFFSET($H$3,0,0,'Données projet'!$E$13+1,1))</f>
        <v>350.06545824795847</v>
      </c>
      <c r="CZ13" s="62">
        <f t="shared" si="42"/>
        <v>513.80016421153414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3.65</v>
      </c>
      <c r="DO13" s="13">
        <f>IF('Données projet'!$A$166&gt;35,DO12+DN13-DW12,IF(A13&lt;'Données projet'!$A$166,$DL$205^A13,IF(A13='Données projet'!$A$166,'Données projet'!$B$166,DO12+DN13-DW12)))</f>
        <v>8.5440037453175322</v>
      </c>
      <c r="DP13" s="18">
        <f>DO13*VLOOKUP('Données projet'!$B$14,Paramètres!$A$1:$I$89,3,0)*VLOOKUP('Données projet'!$B$14,Paramètres!$A$1:$I$89,5,0)</f>
        <v>6.7976093797746282</v>
      </c>
      <c r="DQ13" s="14">
        <f t="shared" si="43"/>
        <v>2.5062362493200738</v>
      </c>
      <c r="DR13" s="22">
        <f t="shared" si="16"/>
        <v>16.204197804006608</v>
      </c>
      <c r="DS13" s="62">
        <f t="shared" si="17"/>
        <v>285.09308669289544</v>
      </c>
      <c r="DT13" s="62">
        <f ca="1">AVERAGE(OFFSET($DS$3,0,0,'Données projet'!$E$14+1,1))-AVERAGE(OFFSET($H$3,0,0,'Données projet'!$E$14+1,1))</f>
        <v>382.14353215900121</v>
      </c>
      <c r="DU13" s="62">
        <f t="shared" si="44"/>
        <v>249.73945975250177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3.65</v>
      </c>
      <c r="N14" s="14">
        <f>IF('Données projet'!$A$36&gt;35,N13+M14-V13,IF(A14&lt;'Données projet'!$A$36,$K$205^A14,IF(A14='Données projet'!$A$36,'Données projet'!$B$36,N13+M14-V13)))</f>
        <v>10.588332555950936</v>
      </c>
      <c r="O14" s="14">
        <f>N14*VLOOKUP('Données projet'!$B$9,Paramètres!$A$1:$I$89,3,0)*VLOOKUP('Données projet'!$B$9,Paramètres!$A$1:$I$89,5,0)</f>
        <v>9.5803232966244067</v>
      </c>
      <c r="P14" s="14">
        <f t="shared" si="33"/>
        <v>3.3939041949894282</v>
      </c>
      <c r="Q14" s="22">
        <f t="shared" si="2"/>
        <v>22.596779547894098</v>
      </c>
      <c r="R14" s="62">
        <f t="shared" si="0"/>
        <v>292.70789065900522</v>
      </c>
      <c r="S14" s="62">
        <f ca="1">AVERAGE(OFFSET($R$3,0,0,'Données projet'!$E$9+1,1))-AVERAGE(OFFSET($H$3,0,0,'Données projet'!$E$9+1,1))</f>
        <v>429.08375622925655</v>
      </c>
      <c r="T14" s="62">
        <f t="shared" si="34"/>
        <v>278.21741231699929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3.65</v>
      </c>
      <c r="AI14" s="14">
        <f>IF('Données projet'!$A$62&gt;35,AI13+AH14-AQ13,IF(A14&lt;'Données projet'!$A$62,$AF$205^A14,IF(A14='Données projet'!$A$62,'Données projet'!$B$62,AI13+AH14-AQ13)))</f>
        <v>10.588332555950936</v>
      </c>
      <c r="AJ14" s="14">
        <f>AI14*VLOOKUP('Données projet'!$B$10,Paramètres!$A$1:$I$89,3,0)*VLOOKUP('Données projet'!$B$10,Paramètres!$A$1:$I$89,5,0)</f>
        <v>10.075857260242911</v>
      </c>
      <c r="AK14" s="14">
        <f t="shared" si="35"/>
        <v>3.5485591253776776</v>
      </c>
      <c r="AL14" s="22">
        <f t="shared" si="4"/>
        <v>23.729191871622522</v>
      </c>
      <c r="AM14" s="62">
        <f t="shared" si="5"/>
        <v>293.84030298273365</v>
      </c>
      <c r="AN14" s="62">
        <f ca="1">AVERAGE(OFFSET($AM$3,0,0,'Données projet'!$E$10+1,1))-AVERAGE(OFFSET($H$3,0,0,'Données projet'!$E$10+1,1))</f>
        <v>449.16408464351673</v>
      </c>
      <c r="AO14" s="62">
        <f t="shared" si="36"/>
        <v>290.39826583283588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3.65</v>
      </c>
      <c r="BD14" s="13">
        <f>IF('Données projet'!$A$88&gt;35,BD13+BC14-BL13,IF(A14&lt;'Données projet'!$A$88,$BA$205^A14,IF(A14='Données projet'!$A$88,'Données projet'!$B$88,BD13+BC14-BL13)))</f>
        <v>10.588332555950936</v>
      </c>
      <c r="BE14" s="14">
        <f>BD14*VLOOKUP('Données projet'!$B$11,Paramètres!$A$1:$I$89,3,0)*VLOOKUP('Données projet'!$B$11,Paramètres!$A$1:$I$89,5,0)</f>
        <v>10.241035248115747</v>
      </c>
      <c r="BF14" s="14">
        <f t="shared" si="37"/>
        <v>3.5999121311945652</v>
      </c>
      <c r="BG14" s="22">
        <f t="shared" si="7"/>
        <v>24.106316685632123</v>
      </c>
      <c r="BH14" s="62">
        <f t="shared" si="8"/>
        <v>294.21742779674327</v>
      </c>
      <c r="BI14" s="62">
        <f ca="1">AVERAGE(OFFSET($BH$3,0,0,'Données projet'!$E$11+1,1))-AVERAGE(OFFSET($H$3,0,0,'Données projet'!$E$11+1,1))</f>
        <v>455.85294519779609</v>
      </c>
      <c r="BJ14" s="62">
        <f t="shared" si="38"/>
        <v>294.45557293177131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7.1333333333333337</v>
      </c>
      <c r="BY14" s="13">
        <f>IF('Données projet'!$A$114&gt;35,BY13+BX14-CG13,IF(A14&lt;'Données projet'!$A$114,$BV$205^A14,IF(A14='Données projet'!$A$114,'Données projet'!$B$114,BY13+BX14-CG13)))</f>
        <v>30.776184035554262</v>
      </c>
      <c r="BZ14" s="14">
        <f>BY14*VLOOKUP('Données projet'!$B$12,Paramètres!$A$1:$I$89,3,0)*VLOOKUP('Données projet'!$B$12,Paramètres!$A$1:$I$89,5,0)</f>
        <v>26.886074373460207</v>
      </c>
      <c r="CA14" s="14">
        <f t="shared" si="39"/>
        <v>8.4466105725279856</v>
      </c>
      <c r="CB14" s="22">
        <f t="shared" si="10"/>
        <v>61.537759614262761</v>
      </c>
      <c r="CC14" s="62">
        <f t="shared" si="11"/>
        <v>331.64887072537391</v>
      </c>
      <c r="CD14" s="62">
        <f ca="1">AVERAGE(OFFSET($CC$3,0,0,'Données projet'!$E$12+1,1))-AVERAGE(OFFSET($H$3,0,0,'Données projet'!$E$12+1,1))</f>
        <v>304.32767345253382</v>
      </c>
      <c r="CE14" s="62">
        <f t="shared" si="40"/>
        <v>427.16091343339173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11.6</v>
      </c>
      <c r="CT14" s="13">
        <f>IF('Données projet'!$A$140&gt;35,CT13+CS14-DB13,IF(A14&lt;'Données projet'!$A$140,$CQ$205^A14,IF(A14='Données projet'!$A$140,'Données projet'!$B$140,CT13+CS14-DB13)))</f>
        <v>43.961190887631851</v>
      </c>
      <c r="CU14" s="18">
        <f>CT14*VLOOKUP('Données projet'!$B$13,Paramètres!$A$1:$I$89,3,0)*VLOOKUP('Données projet'!$B$13,Paramètres!$A$1:$I$89,5,0)</f>
        <v>39.776085515129296</v>
      </c>
      <c r="CV14" s="14">
        <f t="shared" si="41"/>
        <v>11.939278971916742</v>
      </c>
      <c r="CW14" s="22">
        <f t="shared" si="13"/>
        <v>90.07092648160517</v>
      </c>
      <c r="CX14" s="62">
        <f t="shared" si="14"/>
        <v>360.18203759271631</v>
      </c>
      <c r="CY14" s="62">
        <f ca="1">AVERAGE(OFFSET($CX$3,0,0,'Données projet'!$E$13+1,1))-AVERAGE(OFFSET($H$3,0,0,'Données projet'!$E$13+1,1))</f>
        <v>350.06545824795847</v>
      </c>
      <c r="CZ14" s="62">
        <f t="shared" si="42"/>
        <v>513.80016421153414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3.65</v>
      </c>
      <c r="DO14" s="13">
        <f>IF('Données projet'!$A$166&gt;35,DO13+DN14-DW13,IF(A14&lt;'Données projet'!$A$166,$DL$205^A14,IF(A14='Données projet'!$A$166,'Données projet'!$B$166,DO13+DN14-DW13)))</f>
        <v>10.588332555950936</v>
      </c>
      <c r="DP14" s="18">
        <f>DO14*VLOOKUP('Données projet'!$B$14,Paramètres!$A$1:$I$89,3,0)*VLOOKUP('Données projet'!$B$14,Paramètres!$A$1:$I$89,5,0)</f>
        <v>8.4240773815145662</v>
      </c>
      <c r="DQ14" s="14">
        <f t="shared" si="43"/>
        <v>3.0293092511419761</v>
      </c>
      <c r="DR14" s="22">
        <f t="shared" si="16"/>
        <v>19.947981718543478</v>
      </c>
      <c r="DS14" s="62">
        <f t="shared" si="17"/>
        <v>290.05909282965462</v>
      </c>
      <c r="DT14" s="62">
        <f ca="1">AVERAGE(OFFSET($DS$3,0,0,'Données projet'!$E$14+1,1))-AVERAGE(OFFSET($H$3,0,0,'Données projet'!$E$14+1,1))</f>
        <v>382.14353215900121</v>
      </c>
      <c r="DU14" s="62">
        <f t="shared" si="44"/>
        <v>249.73945975250177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3.65</v>
      </c>
      <c r="N15" s="14">
        <f>IF('Données projet'!$A$36&gt;35,N14+M15-V14,IF(A15&lt;'Données projet'!$A$36,$K$205^A15,IF(A15='Données projet'!$A$36,'Données projet'!$B$36,N14+M15-V14)))</f>
        <v>13.121809125710287</v>
      </c>
      <c r="O15" s="14">
        <f>N15*VLOOKUP('Données projet'!$B$9,Paramètres!$A$1:$I$89,3,0)*VLOOKUP('Données projet'!$B$9,Paramètres!$A$1:$I$89,5,0)</f>
        <v>11.872612896942668</v>
      </c>
      <c r="P15" s="14">
        <f t="shared" si="33"/>
        <v>4.1022411108131784</v>
      </c>
      <c r="Q15" s="22">
        <f t="shared" si="2"/>
        <v>27.822870730174767</v>
      </c>
      <c r="R15" s="62">
        <f t="shared" si="0"/>
        <v>299.15620406350808</v>
      </c>
      <c r="S15" s="62">
        <f ca="1">AVERAGE(OFFSET($R$3,0,0,'Données projet'!$E$9+1,1))-AVERAGE(OFFSET($H$3,0,0,'Données projet'!$E$9+1,1))</f>
        <v>429.08375622925655</v>
      </c>
      <c r="T15" s="62">
        <f t="shared" si="34"/>
        <v>278.21741231699929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3.65</v>
      </c>
      <c r="AI15" s="14">
        <f>IF('Données projet'!$A$62&gt;35,AI14+AH15-AQ14,IF(A15&lt;'Données projet'!$A$62,$AF$205^A15,IF(A15='Données projet'!$A$62,'Données projet'!$B$62,AI14+AH15-AQ14)))</f>
        <v>13.121809125710287</v>
      </c>
      <c r="AJ15" s="14">
        <f>AI15*VLOOKUP('Données projet'!$B$10,Paramètres!$A$1:$I$89,3,0)*VLOOKUP('Données projet'!$B$10,Paramètres!$A$1:$I$89,5,0)</f>
        <v>12.486713564025909</v>
      </c>
      <c r="AK15" s="14">
        <f t="shared" si="35"/>
        <v>4.289173851685848</v>
      </c>
      <c r="AL15" s="22">
        <f t="shared" si="4"/>
        <v>29.218003915697977</v>
      </c>
      <c r="AM15" s="62">
        <f t="shared" si="5"/>
        <v>300.55133724903129</v>
      </c>
      <c r="AN15" s="62">
        <f ca="1">AVERAGE(OFFSET($AM$3,0,0,'Données projet'!$E$10+1,1))-AVERAGE(OFFSET($H$3,0,0,'Données projet'!$E$10+1,1))</f>
        <v>449.16408464351673</v>
      </c>
      <c r="AO15" s="62">
        <f t="shared" si="36"/>
        <v>290.39826583283588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3.65</v>
      </c>
      <c r="BD15" s="13">
        <f>IF('Données projet'!$A$88&gt;35,BD14+BC15-BL14,IF(A15&lt;'Données projet'!$A$88,$BA$205^A15,IF(A15='Données projet'!$A$88,'Données projet'!$B$88,BD14+BC15-BL14)))</f>
        <v>13.121809125710287</v>
      </c>
      <c r="BE15" s="14">
        <f>BD15*VLOOKUP('Données projet'!$B$11,Paramètres!$A$1:$I$89,3,0)*VLOOKUP('Données projet'!$B$11,Paramètres!$A$1:$I$89,5,0)</f>
        <v>12.69141378638699</v>
      </c>
      <c r="BF15" s="14">
        <f t="shared" si="37"/>
        <v>4.3512446702837533</v>
      </c>
      <c r="BG15" s="22">
        <f t="shared" si="7"/>
        <v>29.682630145368211</v>
      </c>
      <c r="BH15" s="62">
        <f t="shared" si="8"/>
        <v>301.01596347870151</v>
      </c>
      <c r="BI15" s="62">
        <f ca="1">AVERAGE(OFFSET($BH$3,0,0,'Données projet'!$E$11+1,1))-AVERAGE(OFFSET($H$3,0,0,'Données projet'!$E$11+1,1))</f>
        <v>455.85294519779609</v>
      </c>
      <c r="BJ15" s="62">
        <f t="shared" si="38"/>
        <v>294.45557293177131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7.1333333333333337</v>
      </c>
      <c r="BY15" s="13">
        <f>IF('Données projet'!$A$114&gt;35,BY14+BX15-CG14,IF(A15&lt;'Données projet'!$A$114,$BV$205^A15,IF(A15='Données projet'!$A$114,'Données projet'!$B$114,BY14+BX15-CG14)))</f>
        <v>42.024932267304926</v>
      </c>
      <c r="BZ15" s="14">
        <f>BY15*VLOOKUP('Données projet'!$B$12,Paramètres!$A$1:$I$89,3,0)*VLOOKUP('Données projet'!$B$12,Paramètres!$A$1:$I$89,5,0)</f>
        <v>36.71298082871759</v>
      </c>
      <c r="CA15" s="14">
        <f t="shared" si="39"/>
        <v>11.123122121818724</v>
      </c>
      <c r="CB15" s="22">
        <f t="shared" si="10"/>
        <v>83.314545972184078</v>
      </c>
      <c r="CC15" s="62">
        <f t="shared" si="11"/>
        <v>354.64787930551739</v>
      </c>
      <c r="CD15" s="62">
        <f ca="1">AVERAGE(OFFSET($CC$3,0,0,'Données projet'!$E$12+1,1))-AVERAGE(OFFSET($H$3,0,0,'Données projet'!$E$12+1,1))</f>
        <v>304.32767345253382</v>
      </c>
      <c r="CE15" s="62">
        <f t="shared" si="40"/>
        <v>427.16091343339173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11.6</v>
      </c>
      <c r="CT15" s="13">
        <f>IF('Données projet'!$A$140&gt;35,CT14+CS15-DB14,IF(A15&lt;'Données projet'!$A$140,$CQ$205^A15,IF(A15='Données projet'!$A$140,'Données projet'!$B$140,CT14+CS15-DB14)))</f>
        <v>62.006811342365829</v>
      </c>
      <c r="CU15" s="18">
        <f>CT15*VLOOKUP('Données projet'!$B$13,Paramètres!$A$1:$I$89,3,0)*VLOOKUP('Données projet'!$B$13,Paramètres!$A$1:$I$89,5,0)</f>
        <v>56.103762902572605</v>
      </c>
      <c r="CV15" s="14">
        <f t="shared" si="41"/>
        <v>16.179361836572209</v>
      </c>
      <c r="CW15" s="22">
        <f t="shared" si="13"/>
        <v>125.89310892067721</v>
      </c>
      <c r="CX15" s="62">
        <f t="shared" si="14"/>
        <v>397.22644225401052</v>
      </c>
      <c r="CY15" s="62">
        <f ca="1">AVERAGE(OFFSET($CX$3,0,0,'Données projet'!$E$13+1,1))-AVERAGE(OFFSET($H$3,0,0,'Données projet'!$E$13+1,1))</f>
        <v>350.06545824795847</v>
      </c>
      <c r="CZ15" s="62">
        <f t="shared" si="42"/>
        <v>513.80016421153414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3.65</v>
      </c>
      <c r="DO15" s="13">
        <f>IF('Données projet'!$A$166&gt;35,DO14+DN15-DW14,IF(A15&lt;'Données projet'!$A$166,$DL$205^A15,IF(A15='Données projet'!$A$166,'Données projet'!$B$166,DO14+DN15-DW14)))</f>
        <v>13.121809125710287</v>
      </c>
      <c r="DP15" s="18">
        <f>DO15*VLOOKUP('Données projet'!$B$14,Paramètres!$A$1:$I$89,3,0)*VLOOKUP('Données projet'!$B$14,Paramètres!$A$1:$I$89,5,0)</f>
        <v>10.439711340415105</v>
      </c>
      <c r="DQ15" s="14">
        <f t="shared" si="43"/>
        <v>3.6615520749665738</v>
      </c>
      <c r="DR15" s="22">
        <f t="shared" si="16"/>
        <v>24.559700448456422</v>
      </c>
      <c r="DS15" s="62">
        <f t="shared" si="17"/>
        <v>295.89303378178971</v>
      </c>
      <c r="DT15" s="62">
        <f ca="1">AVERAGE(OFFSET($DS$3,0,0,'Données projet'!$E$14+1,1))-AVERAGE(OFFSET($H$3,0,0,'Données projet'!$E$14+1,1))</f>
        <v>382.14353215900121</v>
      </c>
      <c r="DU15" s="62">
        <f t="shared" si="44"/>
        <v>249.73945975250177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3.65</v>
      </c>
      <c r="N16" s="14">
        <f>IF('Données projet'!$A$36&gt;35,N15+M16-V15,IF(A16&lt;'Données projet'!$A$36,$K$205^A16,IF(A16='Données projet'!$A$36,'Données projet'!$B$36,N15+M16-V15)))</f>
        <v>16.261472127148366</v>
      </c>
      <c r="O16" s="14">
        <f>N16*VLOOKUP('Données projet'!$B$9,Paramètres!$A$1:$I$89,3,0)*VLOOKUP('Données projet'!$B$9,Paramètres!$A$1:$I$89,5,0)</f>
        <v>14.713379980643843</v>
      </c>
      <c r="P16" s="14">
        <f t="shared" si="33"/>
        <v>4.9584140165447881</v>
      </c>
      <c r="Q16" s="22">
        <f t="shared" si="2"/>
        <v>34.261707878436859</v>
      </c>
      <c r="R16" s="62">
        <f t="shared" si="0"/>
        <v>306.81726343399242</v>
      </c>
      <c r="S16" s="62">
        <f ca="1">AVERAGE(OFFSET($R$3,0,0,'Données projet'!$E$9+1,1))-AVERAGE(OFFSET($H$3,0,0,'Données projet'!$E$9+1,1))</f>
        <v>429.08375622925655</v>
      </c>
      <c r="T16" s="62">
        <f t="shared" si="34"/>
        <v>278.21741231699929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3.65</v>
      </c>
      <c r="AI16" s="14">
        <f>IF('Données projet'!$A$62&gt;35,AI15+AH16-AQ15,IF(A16&lt;'Données projet'!$A$62,$AF$205^A16,IF(A16='Données projet'!$A$62,'Données projet'!$B$62,AI15+AH16-AQ15)))</f>
        <v>16.261472127148366</v>
      </c>
      <c r="AJ16" s="14">
        <f>AI16*VLOOKUP('Données projet'!$B$10,Paramètres!$A$1:$I$89,3,0)*VLOOKUP('Données projet'!$B$10,Paramètres!$A$1:$I$89,5,0)</f>
        <v>15.474416876194386</v>
      </c>
      <c r="AK16" s="14">
        <f t="shared" si="35"/>
        <v>5.1843612238044923</v>
      </c>
      <c r="AL16" s="22">
        <f t="shared" si="4"/>
        <v>35.980705190831372</v>
      </c>
      <c r="AM16" s="62">
        <f t="shared" si="5"/>
        <v>308.53626074638692</v>
      </c>
      <c r="AN16" s="62">
        <f ca="1">AVERAGE(OFFSET($AM$3,0,0,'Données projet'!$E$10+1,1))-AVERAGE(OFFSET($H$3,0,0,'Données projet'!$E$10+1,1))</f>
        <v>449.16408464351673</v>
      </c>
      <c r="AO16" s="62">
        <f t="shared" si="36"/>
        <v>290.39826583283588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3.65</v>
      </c>
      <c r="BD16" s="13">
        <f>IF('Données projet'!$A$88&gt;35,BD15+BC16-BL15,IF(A16&lt;'Données projet'!$A$88,$BA$205^A16,IF(A16='Données projet'!$A$88,'Données projet'!$B$88,BD15+BC16-BL15)))</f>
        <v>16.261472127148366</v>
      </c>
      <c r="BE16" s="14">
        <f>BD16*VLOOKUP('Données projet'!$B$11,Paramètres!$A$1:$I$89,3,0)*VLOOKUP('Données projet'!$B$11,Paramètres!$A$1:$I$89,5,0)</f>
        <v>15.728095841377899</v>
      </c>
      <c r="BF16" s="14">
        <f t="shared" si="37"/>
        <v>5.2593867546400634</v>
      </c>
      <c r="BG16" s="22">
        <f t="shared" si="7"/>
        <v>36.553198854731285</v>
      </c>
      <c r="BH16" s="62">
        <f t="shared" si="8"/>
        <v>309.10875441028685</v>
      </c>
      <c r="BI16" s="62">
        <f ca="1">AVERAGE(OFFSET($BH$3,0,0,'Données projet'!$E$11+1,1))-AVERAGE(OFFSET($H$3,0,0,'Données projet'!$E$11+1,1))</f>
        <v>455.85294519779609</v>
      </c>
      <c r="BJ16" s="62">
        <f t="shared" si="38"/>
        <v>294.45557293177131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7.1333333333333337</v>
      </c>
      <c r="BY16" s="13">
        <f>IF('Données projet'!$A$114&gt;35,BY15+BX16-CG15,IF(A16&lt;'Données projet'!$A$114,$BV$205^A16,IF(A16='Données projet'!$A$114,'Données projet'!$B$114,BY15+BX16-CG15)))</f>
        <v>57.385117337200782</v>
      </c>
      <c r="BZ16" s="14">
        <f>BY16*VLOOKUP('Données projet'!$B$12,Paramètres!$A$1:$I$89,3,0)*VLOOKUP('Données projet'!$B$12,Paramètres!$A$1:$I$89,5,0)</f>
        <v>50.131638505778611</v>
      </c>
      <c r="CA16" s="14">
        <f t="shared" si="39"/>
        <v>14.647750677567194</v>
      </c>
      <c r="CB16" s="22">
        <f t="shared" si="10"/>
        <v>112.82410282766058</v>
      </c>
      <c r="CC16" s="62">
        <f t="shared" si="11"/>
        <v>385.37965838321611</v>
      </c>
      <c r="CD16" s="62">
        <f ca="1">AVERAGE(OFFSET($CC$3,0,0,'Données projet'!$E$12+1,1))-AVERAGE(OFFSET($H$3,0,0,'Données projet'!$E$12+1,1))</f>
        <v>304.32767345253382</v>
      </c>
      <c r="CE16" s="62">
        <f t="shared" si="40"/>
        <v>427.16091343339173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11.6</v>
      </c>
      <c r="CT16" s="13">
        <f>IF('Données projet'!$A$140&gt;35,CT15+CS16-DB15,IF(A16&lt;'Données projet'!$A$140,$CQ$205^A16,IF(A16='Données projet'!$A$140,'Données projet'!$B$140,CT15+CS16-DB15)))</f>
        <v>87.459974928237557</v>
      </c>
      <c r="CU16" s="18">
        <f>CT16*VLOOKUP('Données projet'!$B$13,Paramètres!$A$1:$I$89,3,0)*VLOOKUP('Données projet'!$B$13,Paramètres!$A$1:$I$89,5,0)</f>
        <v>79.133785315069332</v>
      </c>
      <c r="CV16" s="14">
        <f t="shared" si="41"/>
        <v>21.925256127649071</v>
      </c>
      <c r="CW16" s="22">
        <f t="shared" si="13"/>
        <v>176.01116384606789</v>
      </c>
      <c r="CX16" s="62">
        <f t="shared" si="14"/>
        <v>448.56671940162346</v>
      </c>
      <c r="CY16" s="62">
        <f ca="1">AVERAGE(OFFSET($CX$3,0,0,'Données projet'!$E$13+1,1))-AVERAGE(OFFSET($H$3,0,0,'Données projet'!$E$13+1,1))</f>
        <v>350.06545824795847</v>
      </c>
      <c r="CZ16" s="62">
        <f t="shared" si="42"/>
        <v>513.80016421153414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3.65</v>
      </c>
      <c r="DO16" s="13">
        <f>IF('Données projet'!$A$166&gt;35,DO15+DN16-DW15,IF(A16&lt;'Données projet'!$A$166,$DL$205^A16,IF(A16='Données projet'!$A$166,'Données projet'!$B$166,DO15+DN16-DW15)))</f>
        <v>16.261472127148366</v>
      </c>
      <c r="DP16" s="18">
        <f>DO16*VLOOKUP('Données projet'!$B$14,Paramètres!$A$1:$I$89,3,0)*VLOOKUP('Données projet'!$B$14,Paramètres!$A$1:$I$89,5,0)</f>
        <v>12.93762722435924</v>
      </c>
      <c r="DQ16" s="14">
        <f t="shared" si="43"/>
        <v>4.4257493990215471</v>
      </c>
      <c r="DR16" s="22">
        <f t="shared" si="16"/>
        <v>30.241214285721536</v>
      </c>
      <c r="DS16" s="62">
        <f t="shared" si="17"/>
        <v>302.79676984127707</v>
      </c>
      <c r="DT16" s="62">
        <f ca="1">AVERAGE(OFFSET($DS$3,0,0,'Données projet'!$E$14+1,1))-AVERAGE(OFFSET($H$3,0,0,'Données projet'!$E$14+1,1))</f>
        <v>382.14353215900121</v>
      </c>
      <c r="DU16" s="62">
        <f t="shared" si="44"/>
        <v>249.73945975250177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3.65</v>
      </c>
      <c r="N17" s="14">
        <f>IF('Données projet'!$A$36&gt;35,N16+M17-V16,IF(A17&lt;'Données projet'!$A$36,$K$205^A17,IF(A17='Données projet'!$A$36,'Données projet'!$B$36,N16+M17-V16)))</f>
        <v>20.152364144963837</v>
      </c>
      <c r="O17" s="14">
        <f>N17*VLOOKUP('Données projet'!$B$9,Paramètres!$A$1:$I$89,3,0)*VLOOKUP('Données projet'!$B$9,Paramètres!$A$1:$I$89,5,0)</f>
        <v>18.233859078363277</v>
      </c>
      <c r="P17" s="14">
        <f t="shared" si="33"/>
        <v>5.9932775513027368</v>
      </c>
      <c r="Q17" s="22">
        <f t="shared" si="2"/>
        <v>42.195596296668306</v>
      </c>
      <c r="R17" s="62">
        <f t="shared" si="0"/>
        <v>315.9733740744461</v>
      </c>
      <c r="S17" s="62">
        <f ca="1">AVERAGE(OFFSET($R$3,0,0,'Données projet'!$E$9+1,1))-AVERAGE(OFFSET($H$3,0,0,'Données projet'!$E$9+1,1))</f>
        <v>429.08375622925655</v>
      </c>
      <c r="T17" s="62">
        <f t="shared" si="34"/>
        <v>278.21741231699929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3.65</v>
      </c>
      <c r="AI17" s="14">
        <f>IF('Données projet'!$A$62&gt;35,AI16+AH17-AQ16,IF(A17&lt;'Données projet'!$A$62,$AF$205^A17,IF(A17='Données projet'!$A$62,'Données projet'!$B$62,AI16+AH17-AQ16)))</f>
        <v>20.152364144963837</v>
      </c>
      <c r="AJ17" s="14">
        <f>AI17*VLOOKUP('Données projet'!$B$10,Paramètres!$A$1:$I$89,3,0)*VLOOKUP('Données projet'!$B$10,Paramètres!$A$1:$I$89,5,0)</f>
        <v>19.176989720347589</v>
      </c>
      <c r="AK17" s="14">
        <f t="shared" si="35"/>
        <v>6.2663818787208765</v>
      </c>
      <c r="AL17" s="22">
        <f t="shared" si="4"/>
        <v>44.3138722017109</v>
      </c>
      <c r="AM17" s="62">
        <f t="shared" si="5"/>
        <v>318.09164997948869</v>
      </c>
      <c r="AN17" s="62">
        <f ca="1">AVERAGE(OFFSET($AM$3,0,0,'Données projet'!$E$10+1,1))-AVERAGE(OFFSET($H$3,0,0,'Données projet'!$E$10+1,1))</f>
        <v>449.16408464351673</v>
      </c>
      <c r="AO17" s="62">
        <f t="shared" si="36"/>
        <v>290.39826583283588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3.65</v>
      </c>
      <c r="BD17" s="13">
        <f>IF('Données projet'!$A$88&gt;35,BD16+BC17-BL16,IF(A17&lt;'Données projet'!$A$88,$BA$205^A17,IF(A17='Données projet'!$A$88,'Données projet'!$B$88,BD16+BC17-BL16)))</f>
        <v>20.152364144963837</v>
      </c>
      <c r="BE17" s="14">
        <f>BD17*VLOOKUP('Données projet'!$B$11,Paramètres!$A$1:$I$89,3,0)*VLOOKUP('Données projet'!$B$11,Paramètres!$A$1:$I$89,5,0)</f>
        <v>19.491366601009023</v>
      </c>
      <c r="BF17" s="14">
        <f t="shared" si="37"/>
        <v>6.3570658813537859</v>
      </c>
      <c r="BG17" s="22">
        <f t="shared" si="7"/>
        <v>45.01935324011523</v>
      </c>
      <c r="BH17" s="62">
        <f t="shared" si="8"/>
        <v>318.79713101789298</v>
      </c>
      <c r="BI17" s="62">
        <f ca="1">AVERAGE(OFFSET($BH$3,0,0,'Données projet'!$E$11+1,1))-AVERAGE(OFFSET($H$3,0,0,'Données projet'!$E$11+1,1))</f>
        <v>455.85294519779609</v>
      </c>
      <c r="BJ17" s="62">
        <f t="shared" si="38"/>
        <v>294.45557293177131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7.1333333333333337</v>
      </c>
      <c r="BY17" s="13">
        <f>IF('Données projet'!$A$114&gt;35,BY16+BX17-CG16,IF(A17&lt;'Données projet'!$A$114,$BV$205^A17,IF(A17='Données projet'!$A$114,'Données projet'!$B$114,BY16+BX17-CG16)))</f>
        <v>78.35947648549265</v>
      </c>
      <c r="BZ17" s="14">
        <f>BY17*VLOOKUP('Données projet'!$B$12,Paramètres!$A$1:$I$89,3,0)*VLOOKUP('Données projet'!$B$12,Paramètres!$A$1:$I$89,5,0)</f>
        <v>68.454838657726384</v>
      </c>
      <c r="CA17" s="14">
        <f t="shared" si="39"/>
        <v>19.289242495261615</v>
      </c>
      <c r="CB17" s="22">
        <f t="shared" si="10"/>
        <v>152.8209413414541</v>
      </c>
      <c r="CC17" s="62">
        <f t="shared" si="11"/>
        <v>426.59871911923187</v>
      </c>
      <c r="CD17" s="62">
        <f ca="1">AVERAGE(OFFSET($CC$3,0,0,'Données projet'!$E$12+1,1))-AVERAGE(OFFSET($H$3,0,0,'Données projet'!$E$12+1,1))</f>
        <v>304.32767345253382</v>
      </c>
      <c r="CE17" s="62">
        <f t="shared" si="40"/>
        <v>427.16091343339173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11.6</v>
      </c>
      <c r="CT17" s="13">
        <f>IF('Données projet'!$A$140&gt;35,CT16+CS17-DB16,IF(A17&lt;'Données projet'!$A$140,$CQ$205^A17,IF(A17='Données projet'!$A$140,'Données projet'!$B$140,CT16+CS17-DB16)))</f>
        <v>123.36140254355628</v>
      </c>
      <c r="CU17" s="18">
        <f>CT17*VLOOKUP('Données projet'!$B$13,Paramètres!$A$1:$I$89,3,0)*VLOOKUP('Données projet'!$B$13,Paramètres!$A$1:$I$89,5,0)</f>
        <v>111.61739702140972</v>
      </c>
      <c r="CV17" s="14">
        <f t="shared" si="41"/>
        <v>29.711731594777099</v>
      </c>
      <c r="CW17" s="22">
        <f t="shared" si="13"/>
        <v>246.14823233985865</v>
      </c>
      <c r="CX17" s="62">
        <f t="shared" si="14"/>
        <v>519.92601011763645</v>
      </c>
      <c r="CY17" s="62">
        <f ca="1">AVERAGE(OFFSET($CX$3,0,0,'Données projet'!$E$13+1,1))-AVERAGE(OFFSET($H$3,0,0,'Données projet'!$E$13+1,1))</f>
        <v>350.06545824795847</v>
      </c>
      <c r="CZ17" s="62">
        <f t="shared" si="42"/>
        <v>513.80016421153414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3.65</v>
      </c>
      <c r="DO17" s="13">
        <f>IF('Données projet'!$A$166&gt;35,DO16+DN17-DW16,IF(A17&lt;'Données projet'!$A$166,$DL$205^A17,IF(A17='Données projet'!$A$166,'Données projet'!$B$166,DO16+DN17-DW16)))</f>
        <v>20.152364144963837</v>
      </c>
      <c r="DP17" s="18">
        <f>DO17*VLOOKUP('Données projet'!$B$14,Paramètres!$A$1:$I$89,3,0)*VLOOKUP('Données projet'!$B$14,Paramètres!$A$1:$I$89,5,0)</f>
        <v>16.033220913733228</v>
      </c>
      <c r="DQ17" s="14">
        <f t="shared" si="43"/>
        <v>5.3494412593103462</v>
      </c>
      <c r="DR17" s="22">
        <f t="shared" si="16"/>
        <v>37.241469951384218</v>
      </c>
      <c r="DS17" s="62">
        <f t="shared" si="17"/>
        <v>311.01924772916198</v>
      </c>
      <c r="DT17" s="62">
        <f ca="1">AVERAGE(OFFSET($DS$3,0,0,'Données projet'!$E$14+1,1))-AVERAGE(OFFSET($H$3,0,0,'Données projet'!$E$14+1,1))</f>
        <v>382.14353215900121</v>
      </c>
      <c r="DU17" s="62">
        <f t="shared" si="44"/>
        <v>249.73945975250177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3.65</v>
      </c>
      <c r="N18" s="14">
        <f>IF('Données projet'!$A$36&gt;35,N17+M18-V17,IF(A18&lt;'Données projet'!$A$36,$K$205^A18,IF(A18='Données projet'!$A$36,'Données projet'!$B$36,N17+M18-V17)))</f>
        <v>24.974232188561476</v>
      </c>
      <c r="O18" s="14">
        <f>N18*VLOOKUP('Données projet'!$B$9,Paramètres!$A$1:$I$89,3,0)*VLOOKUP('Données projet'!$B$9,Paramètres!$A$1:$I$89,5,0)</f>
        <v>22.596685284210423</v>
      </c>
      <c r="P18" s="14">
        <f t="shared" si="33"/>
        <v>7.2441259820371586</v>
      </c>
      <c r="Q18" s="22">
        <f t="shared" si="2"/>
        <v>51.972746288714539</v>
      </c>
      <c r="R18" s="62">
        <f t="shared" si="0"/>
        <v>326.97274628871452</v>
      </c>
      <c r="S18" s="62">
        <f ca="1">AVERAGE(OFFSET($R$3,0,0,'Données projet'!$E$9+1,1))-AVERAGE(OFFSET($H$3,0,0,'Données projet'!$E$9+1,1))</f>
        <v>429.08375622925655</v>
      </c>
      <c r="T18" s="62">
        <f t="shared" si="34"/>
        <v>278.21741231699929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3.65</v>
      </c>
      <c r="AI18" s="14">
        <f>IF('Données projet'!$A$62&gt;35,AI17+AH18-AQ17,IF(A18&lt;'Données projet'!$A$62,$AF$205^A18,IF(A18='Données projet'!$A$62,'Données projet'!$B$62,AI17+AH18-AQ17)))</f>
        <v>24.974232188561476</v>
      </c>
      <c r="AJ18" s="14">
        <f>AI18*VLOOKUP('Données projet'!$B$10,Paramètres!$A$1:$I$89,3,0)*VLOOKUP('Données projet'!$B$10,Paramètres!$A$1:$I$89,5,0)</f>
        <v>23.765479350635101</v>
      </c>
      <c r="AK18" s="14">
        <f t="shared" si="35"/>
        <v>7.5742295250687146</v>
      </c>
      <c r="AL18" s="22">
        <f t="shared" si="4"/>
        <v>54.583326291850803</v>
      </c>
      <c r="AM18" s="62">
        <f t="shared" si="5"/>
        <v>329.58332629185082</v>
      </c>
      <c r="AN18" s="62">
        <f ca="1">AVERAGE(OFFSET($AM$3,0,0,'Données projet'!$E$10+1,1))-AVERAGE(OFFSET($H$3,0,0,'Données projet'!$E$10+1,1))</f>
        <v>449.16408464351673</v>
      </c>
      <c r="AO18" s="62">
        <f t="shared" si="36"/>
        <v>290.39826583283588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3.65</v>
      </c>
      <c r="BD18" s="13">
        <f>IF('Données projet'!$A$88&gt;35,BD17+BC18-BL17,IF(A18&lt;'Données projet'!$A$88,$BA$205^A18,IF(A18='Données projet'!$A$88,'Données projet'!$B$88,BD17+BC18-BL17)))</f>
        <v>24.974232188561476</v>
      </c>
      <c r="BE18" s="14">
        <f>BD18*VLOOKUP('Données projet'!$B$11,Paramètres!$A$1:$I$89,3,0)*VLOOKUP('Données projet'!$B$11,Paramètres!$A$1:$I$89,5,0)</f>
        <v>24.155077372776663</v>
      </c>
      <c r="BF18" s="14">
        <f t="shared" si="37"/>
        <v>7.6838400568695304</v>
      </c>
      <c r="BG18" s="22">
        <f t="shared" si="7"/>
        <v>55.452781189967119</v>
      </c>
      <c r="BH18" s="62">
        <f t="shared" si="8"/>
        <v>330.45278118996714</v>
      </c>
      <c r="BI18" s="62">
        <f ca="1">AVERAGE(OFFSET($BH$3,0,0,'Données projet'!$E$11+1,1))-AVERAGE(OFFSET($H$3,0,0,'Données projet'!$E$11+1,1))</f>
        <v>455.85294519779609</v>
      </c>
      <c r="BJ18" s="62">
        <f t="shared" si="38"/>
        <v>294.45557293177131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107</v>
      </c>
      <c r="BW18" s="13">
        <f>VLOOKUP(A18,'Données projet'!$A$113:$I$133,9,0)</f>
        <v>7.1333333333333337</v>
      </c>
      <c r="BX18" s="13">
        <f t="array" ref="BX18">INDEX(BW:BW,MIN(IF(ISNUMBER(BW18:BW214),ROW(BW18:BW214),"")))</f>
        <v>7.1333333333333337</v>
      </c>
      <c r="BY18" s="13">
        <f>IF('Données projet'!$A$114&gt;35,BY17+BX18-CG17,IF(A18&lt;'Données projet'!$A$114,$BV$205^A18,IF(A18='Données projet'!$A$114,'Données projet'!$B$114,BY17+BX18-CG17)))</f>
        <v>107</v>
      </c>
      <c r="BZ18" s="14">
        <f>BY18*VLOOKUP('Données projet'!$B$12,Paramètres!$A$1:$I$89,3,0)*VLOOKUP('Données projet'!$B$12,Paramètres!$A$1:$I$89,5,0)</f>
        <v>93.475200000000015</v>
      </c>
      <c r="CA18" s="14">
        <f t="shared" si="39"/>
        <v>25.401502539965662</v>
      </c>
      <c r="CB18" s="22">
        <f t="shared" si="10"/>
        <v>207.04359025710687</v>
      </c>
      <c r="CC18" s="62">
        <f t="shared" si="11"/>
        <v>482.04359025710687</v>
      </c>
      <c r="CD18" s="62">
        <f ca="1">AVERAGE(OFFSET($CC$3,0,0,'Données projet'!$E$12+1,1))-AVERAGE(OFFSET($H$3,0,0,'Données projet'!$E$12+1,1))</f>
        <v>304.32767345253382</v>
      </c>
      <c r="CE18" s="62">
        <f t="shared" si="40"/>
        <v>427.16091343339173</v>
      </c>
      <c r="CF18" s="16">
        <f>IF(ISNA(VLOOKUP(A18,'Données projet'!$A$113:$I$133,3,0)),0,VLOOKUP(A18,'Données projet'!$A$113:$I$133,3,0))</f>
        <v>1</v>
      </c>
      <c r="CG18" s="16">
        <f>IF(ISNA(VLOOKUP(A18,'Données projet'!$A$113:$I$133,4,0)),0,VLOOKUP(A18,'Données projet'!$A$113:$I$133,4,0))</f>
        <v>34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174</v>
      </c>
      <c r="CR18" s="13">
        <f>VLOOKUP(A18,'Données projet'!$A$139:$I$159,9,0)</f>
        <v>11.6</v>
      </c>
      <c r="CS18" s="13">
        <f t="array" ref="CS18">INDEX(CR:CR,MIN(IF(ISNUMBER(CR18:CR214),ROW(CR18:CR214),"")))</f>
        <v>11.6</v>
      </c>
      <c r="CT18" s="13">
        <f>IF('Données projet'!$A$140&gt;35,CT17+CS18-DB17,IF(A18&lt;'Données projet'!$A$140,$CQ$205^A18,IF(A18='Données projet'!$A$140,'Données projet'!$B$140,CT17+CS18-DB17)))</f>
        <v>174</v>
      </c>
      <c r="CU18" s="18">
        <f>CT18*VLOOKUP('Données projet'!$B$13,Paramètres!$A$1:$I$89,3,0)*VLOOKUP('Données projet'!$B$13,Paramètres!$A$1:$I$89,5,0)</f>
        <v>157.43519999999998</v>
      </c>
      <c r="CV18" s="14">
        <f t="shared" si="41"/>
        <v>40.263474653179884</v>
      </c>
      <c r="CW18" s="22">
        <f t="shared" si="13"/>
        <v>344.32519168762161</v>
      </c>
      <c r="CX18" s="62">
        <f t="shared" si="14"/>
        <v>619.32519168762155</v>
      </c>
      <c r="CY18" s="62">
        <f ca="1">AVERAGE(OFFSET($CX$3,0,0,'Données projet'!$E$13+1,1))-AVERAGE(OFFSET($H$3,0,0,'Données projet'!$E$13+1,1))</f>
        <v>350.06545824795847</v>
      </c>
      <c r="CZ18" s="62">
        <f t="shared" si="42"/>
        <v>513.80016421153414</v>
      </c>
      <c r="DA18" s="16">
        <f>IF(ISNA(VLOOKUP(A18,'Données projet'!$A$139:$I$159,3,0)),0,VLOOKUP(A18,'Données projet'!$A$139:$I$159,3,0))</f>
        <v>1</v>
      </c>
      <c r="DB18" s="16">
        <f>IF(ISNA(VLOOKUP(A18,'Données projet'!$A$139:$I$159,4,0)),0,VLOOKUP(A18,'Données projet'!$A$139:$I$159,4,0))</f>
        <v>57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3.65</v>
      </c>
      <c r="DO18" s="13">
        <f>IF('Données projet'!$A$166&gt;35,DO17+DN18-DW17,IF(A18&lt;'Données projet'!$A$166,$DL$205^A18,IF(A18='Données projet'!$A$166,'Données projet'!$B$166,DO17+DN18-DW17)))</f>
        <v>24.974232188561476</v>
      </c>
      <c r="DP18" s="18">
        <f>DO18*VLOOKUP('Données projet'!$B$14,Paramètres!$A$1:$I$89,3,0)*VLOOKUP('Données projet'!$B$14,Paramètres!$A$1:$I$89,5,0)</f>
        <v>19.869499129219513</v>
      </c>
      <c r="DQ18" s="14">
        <f t="shared" si="43"/>
        <v>6.4659155335678173</v>
      </c>
      <c r="DR18" s="22">
        <f t="shared" si="16"/>
        <v>45.867513871021259</v>
      </c>
      <c r="DS18" s="62">
        <f t="shared" si="17"/>
        <v>320.86751387102129</v>
      </c>
      <c r="DT18" s="62">
        <f ca="1">AVERAGE(OFFSET($DS$3,0,0,'Données projet'!$E$14+1,1))-AVERAGE(OFFSET($H$3,0,0,'Données projet'!$E$14+1,1))</f>
        <v>382.14353215900121</v>
      </c>
      <c r="DU18" s="62">
        <f t="shared" si="44"/>
        <v>249.73945975250177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3.65</v>
      </c>
      <c r="N19" s="14">
        <f>IF('Données projet'!$A$36&gt;35,N18+M19-V18,IF(A19&lt;'Données projet'!$A$36,$K$205^A19,IF(A19='Données projet'!$A$36,'Données projet'!$B$36,N18+M19-V18)))</f>
        <v>30.949831440200953</v>
      </c>
      <c r="O19" s="14">
        <f>N19*VLOOKUP('Données projet'!$B$9,Paramètres!$A$1:$I$89,3,0)*VLOOKUP('Données projet'!$B$9,Paramètres!$A$1:$I$89,5,0)</f>
        <v>28.003407487093821</v>
      </c>
      <c r="P19" s="14">
        <f t="shared" si="33"/>
        <v>8.7560372090925433</v>
      </c>
      <c r="Q19" s="22">
        <f t="shared" si="2"/>
        <v>64.022699512524582</v>
      </c>
      <c r="R19" s="62">
        <f t="shared" si="0"/>
        <v>340.24492173474681</v>
      </c>
      <c r="S19" s="62">
        <f ca="1">AVERAGE(OFFSET($R$3,0,0,'Données projet'!$E$9+1,1))-AVERAGE(OFFSET($H$3,0,0,'Données projet'!$E$9+1,1))</f>
        <v>429.08375622925655</v>
      </c>
      <c r="T19" s="62">
        <f t="shared" si="34"/>
        <v>278.21741231699929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3.65</v>
      </c>
      <c r="AI19" s="14">
        <f>IF('Données projet'!$A$62&gt;35,AI18+AH19-AQ18,IF(A19&lt;'Données projet'!$A$62,$AF$205^A19,IF(A19='Données projet'!$A$62,'Données projet'!$B$62,AI18+AH19-AQ18)))</f>
        <v>30.949831440200953</v>
      </c>
      <c r="AJ19" s="14">
        <f>AI19*VLOOKUP('Données projet'!$B$10,Paramètres!$A$1:$I$89,3,0)*VLOOKUP('Données projet'!$B$10,Paramètres!$A$1:$I$89,5,0)</f>
        <v>29.451859598495226</v>
      </c>
      <c r="AK19" s="14">
        <f t="shared" si="35"/>
        <v>9.1550361929319699</v>
      </c>
      <c r="AL19" s="22">
        <f t="shared" si="4"/>
        <v>67.240343503402343</v>
      </c>
      <c r="AM19" s="62">
        <f t="shared" si="5"/>
        <v>343.46256572562459</v>
      </c>
      <c r="AN19" s="62">
        <f ca="1">AVERAGE(OFFSET($AM$3,0,0,'Données projet'!$E$10+1,1))-AVERAGE(OFFSET($H$3,0,0,'Données projet'!$E$10+1,1))</f>
        <v>449.16408464351673</v>
      </c>
      <c r="AO19" s="62">
        <f t="shared" si="36"/>
        <v>290.39826583283588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3.65</v>
      </c>
      <c r="BD19" s="13">
        <f>IF('Données projet'!$A$88&gt;35,BD18+BC19-BL18,IF(A19&lt;'Données projet'!$A$88,$BA$205^A19,IF(A19='Données projet'!$A$88,'Données projet'!$B$88,BD18+BC19-BL18)))</f>
        <v>30.949831440200953</v>
      </c>
      <c r="BE19" s="14">
        <f>BD19*VLOOKUP('Données projet'!$B$11,Paramètres!$A$1:$I$89,3,0)*VLOOKUP('Données projet'!$B$11,Paramètres!$A$1:$I$89,5,0)</f>
        <v>29.934676968962361</v>
      </c>
      <c r="BF19" s="14">
        <f t="shared" si="37"/>
        <v>9.2875233828754098</v>
      </c>
      <c r="BG19" s="22">
        <f t="shared" si="7"/>
        <v>68.311998946117441</v>
      </c>
      <c r="BH19" s="62">
        <f t="shared" si="8"/>
        <v>344.53422116833968</v>
      </c>
      <c r="BI19" s="62">
        <f ca="1">AVERAGE(OFFSET($BH$3,0,0,'Données projet'!$E$11+1,1))-AVERAGE(OFFSET($H$3,0,0,'Données projet'!$E$11+1,1))</f>
        <v>455.85294519779609</v>
      </c>
      <c r="BJ19" s="62">
        <f t="shared" si="38"/>
        <v>294.45557293177131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16.2</v>
      </c>
      <c r="BY19" s="13">
        <f>IF('Données projet'!$A$114&gt;35,BY18+BX19-CG18,IF(A19&lt;'Données projet'!$A$114,$BV$205^A19,IF(A19='Données projet'!$A$114,'Données projet'!$B$114,BY18+BX19-CG18)))</f>
        <v>89.2</v>
      </c>
      <c r="BZ19" s="14">
        <f>BY19*VLOOKUP('Données projet'!$B$12,Paramètres!$A$1:$I$89,3,0)*VLOOKUP('Données projet'!$B$12,Paramètres!$A$1:$I$89,5,0)</f>
        <v>77.925120000000007</v>
      </c>
      <c r="CA19" s="14">
        <f t="shared" si="39"/>
        <v>21.629091902424182</v>
      </c>
      <c r="CB19" s="22">
        <f t="shared" si="10"/>
        <v>173.3902523967221</v>
      </c>
      <c r="CC19" s="62">
        <f t="shared" si="11"/>
        <v>449.61247461894436</v>
      </c>
      <c r="CD19" s="62">
        <f ca="1">AVERAGE(OFFSET($CC$3,0,0,'Données projet'!$E$12+1,1))-AVERAGE(OFFSET($H$3,0,0,'Données projet'!$E$12+1,1))</f>
        <v>304.32767345253382</v>
      </c>
      <c r="CE19" s="62">
        <f t="shared" si="40"/>
        <v>427.16091343339173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12.6</v>
      </c>
      <c r="CT19" s="13">
        <f>IF('Données projet'!$A$140&gt;35,CT18+CS19-DB18,IF(A19&lt;'Données projet'!$A$140,$CQ$205^A19,IF(A19='Données projet'!$A$140,'Données projet'!$B$140,CT18+CS19-DB18)))</f>
        <v>129.6</v>
      </c>
      <c r="CU19" s="18">
        <f>CT19*VLOOKUP('Données projet'!$B$13,Paramètres!$A$1:$I$89,3,0)*VLOOKUP('Données projet'!$B$13,Paramètres!$A$1:$I$89,5,0)</f>
        <v>117.26208</v>
      </c>
      <c r="CV19" s="14">
        <f t="shared" si="41"/>
        <v>31.035569170075775</v>
      </c>
      <c r="CW19" s="22">
        <f t="shared" si="13"/>
        <v>258.28507230454863</v>
      </c>
      <c r="CX19" s="62">
        <f t="shared" si="14"/>
        <v>534.50729452677092</v>
      </c>
      <c r="CY19" s="62">
        <f ca="1">AVERAGE(OFFSET($CX$3,0,0,'Données projet'!$E$13+1,1))-AVERAGE(OFFSET($H$3,0,0,'Données projet'!$E$13+1,1))</f>
        <v>350.06545824795847</v>
      </c>
      <c r="CZ19" s="62">
        <f t="shared" si="42"/>
        <v>513.80016421153414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3.65</v>
      </c>
      <c r="DO19" s="13">
        <f>IF('Données projet'!$A$166&gt;35,DO18+DN19-DW18,IF(A19&lt;'Données projet'!$A$166,$DL$205^A19,IF(A19='Données projet'!$A$166,'Données projet'!$B$166,DO18+DN19-DW18)))</f>
        <v>30.949831440200953</v>
      </c>
      <c r="DP19" s="18">
        <f>DO19*VLOOKUP('Données projet'!$B$14,Paramètres!$A$1:$I$89,3,0)*VLOOKUP('Données projet'!$B$14,Paramètres!$A$1:$I$89,5,0)</f>
        <v>24.623685893823879</v>
      </c>
      <c r="DQ19" s="14">
        <f t="shared" si="43"/>
        <v>7.8154075651301769</v>
      </c>
      <c r="DR19" s="22">
        <f t="shared" si="16"/>
        <v>56.498087774344974</v>
      </c>
      <c r="DS19" s="62">
        <f t="shared" si="17"/>
        <v>332.72030999656721</v>
      </c>
      <c r="DT19" s="62">
        <f ca="1">AVERAGE(OFFSET($DS$3,0,0,'Données projet'!$E$14+1,1))-AVERAGE(OFFSET($H$3,0,0,'Données projet'!$E$14+1,1))</f>
        <v>382.14353215900121</v>
      </c>
      <c r="DU19" s="62">
        <f t="shared" si="44"/>
        <v>249.73945975250177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3.65</v>
      </c>
      <c r="N20" s="14">
        <f>IF('Données projet'!$A$36&gt;35,N19+M20-V19,IF(A20&lt;'Données projet'!$A$36,$K$205^A20,IF(A20='Données projet'!$A$36,'Données projet'!$B$36,N19+M20-V19)))</f>
        <v>38.355215845858055</v>
      </c>
      <c r="O20" s="14">
        <f>N20*VLOOKUP('Données projet'!$B$9,Paramètres!$A$1:$I$89,3,0)*VLOOKUP('Données projet'!$B$9,Paramètres!$A$1:$I$89,5,0)</f>
        <v>34.703799297332367</v>
      </c>
      <c r="P20" s="14">
        <f t="shared" si="33"/>
        <v>10.583497277259243</v>
      </c>
      <c r="Q20" s="22">
        <f t="shared" si="2"/>
        <v>78.875374867413711</v>
      </c>
      <c r="R20" s="62">
        <f t="shared" si="0"/>
        <v>356.31981931185817</v>
      </c>
      <c r="S20" s="62">
        <f ca="1">AVERAGE(OFFSET($R$3,0,0,'Données projet'!$E$9+1,1))-AVERAGE(OFFSET($H$3,0,0,'Données projet'!$E$9+1,1))</f>
        <v>429.08375622925655</v>
      </c>
      <c r="T20" s="62">
        <f t="shared" si="34"/>
        <v>278.21741231699929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3.65</v>
      </c>
      <c r="AI20" s="14">
        <f>IF('Données projet'!$A$62&gt;35,AI19+AH20-AQ19,IF(A20&lt;'Données projet'!$A$62,$AF$205^A20,IF(A20='Données projet'!$A$62,'Données projet'!$B$62,AI19+AH20-AQ19)))</f>
        <v>38.355215845858055</v>
      </c>
      <c r="AJ20" s="14">
        <f>AI20*VLOOKUP('Données projet'!$B$10,Paramètres!$A$1:$I$89,3,0)*VLOOKUP('Données projet'!$B$10,Paramètres!$A$1:$I$89,5,0)</f>
        <v>36.498823398918525</v>
      </c>
      <c r="AK20" s="14">
        <f t="shared" si="35"/>
        <v>11.065770771335835</v>
      </c>
      <c r="AL20" s="22">
        <f t="shared" si="4"/>
        <v>82.841668179859667</v>
      </c>
      <c r="AM20" s="62">
        <f t="shared" si="5"/>
        <v>360.28611262430411</v>
      </c>
      <c r="AN20" s="62">
        <f ca="1">AVERAGE(OFFSET($AM$3,0,0,'Données projet'!$E$10+1,1))-AVERAGE(OFFSET($H$3,0,0,'Données projet'!$E$10+1,1))</f>
        <v>449.16408464351673</v>
      </c>
      <c r="AO20" s="62">
        <f t="shared" si="36"/>
        <v>290.39826583283588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3.65</v>
      </c>
      <c r="BD20" s="13">
        <f>IF('Données projet'!$A$88&gt;35,BD19+BC20-BL19,IF(A20&lt;'Données projet'!$A$88,$BA$205^A20,IF(A20='Données projet'!$A$88,'Données projet'!$B$88,BD19+BC20-BL19)))</f>
        <v>38.355215845858055</v>
      </c>
      <c r="BE20" s="14">
        <f>BD20*VLOOKUP('Données projet'!$B$11,Paramètres!$A$1:$I$89,3,0)*VLOOKUP('Données projet'!$B$11,Paramètres!$A$1:$I$89,5,0)</f>
        <v>37.097164766113913</v>
      </c>
      <c r="BF20" s="14">
        <f t="shared" si="37"/>
        <v>11.225909174194843</v>
      </c>
      <c r="BG20" s="22">
        <f t="shared" si="7"/>
        <v>84.162687112704418</v>
      </c>
      <c r="BH20" s="62">
        <f t="shared" si="8"/>
        <v>361.60713155714888</v>
      </c>
      <c r="BI20" s="62">
        <f ca="1">AVERAGE(OFFSET($BH$3,0,0,'Données projet'!$E$11+1,1))-AVERAGE(OFFSET($H$3,0,0,'Données projet'!$E$11+1,1))</f>
        <v>455.85294519779609</v>
      </c>
      <c r="BJ20" s="62">
        <f t="shared" si="38"/>
        <v>294.45557293177131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16.2</v>
      </c>
      <c r="BY20" s="13">
        <f>IF('Données projet'!$A$114&gt;35,BY19+BX20-CG19,IF(A20&lt;'Données projet'!$A$114,$BV$205^A20,IF(A20='Données projet'!$A$114,'Données projet'!$B$114,BY19+BX20-CG19)))</f>
        <v>105.4</v>
      </c>
      <c r="BZ20" s="14">
        <f>BY20*VLOOKUP('Données projet'!$B$12,Paramètres!$A$1:$I$89,3,0)*VLOOKUP('Données projet'!$B$12,Paramètres!$A$1:$I$89,5,0)</f>
        <v>92.07744000000001</v>
      </c>
      <c r="CA20" s="14">
        <f t="shared" si="39"/>
        <v>25.065586122051112</v>
      </c>
      <c r="CB20" s="22">
        <f t="shared" si="10"/>
        <v>204.02410382923904</v>
      </c>
      <c r="CC20" s="62">
        <f t="shared" si="11"/>
        <v>481.4685482736835</v>
      </c>
      <c r="CD20" s="62">
        <f ca="1">AVERAGE(OFFSET($CC$3,0,0,'Données projet'!$E$12+1,1))-AVERAGE(OFFSET($H$3,0,0,'Données projet'!$E$12+1,1))</f>
        <v>304.32767345253382</v>
      </c>
      <c r="CE20" s="62">
        <f t="shared" si="40"/>
        <v>427.16091343339173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12.6</v>
      </c>
      <c r="CT20" s="13">
        <f>IF('Données projet'!$A$140&gt;35,CT19+CS20-DB19,IF(A20&lt;'Données projet'!$A$140,$CQ$205^A20,IF(A20='Données projet'!$A$140,'Données projet'!$B$140,CT19+CS20-DB19)))</f>
        <v>142.19999999999999</v>
      </c>
      <c r="CU20" s="18">
        <f>CT20*VLOOKUP('Données projet'!$B$13,Paramètres!$A$1:$I$89,3,0)*VLOOKUP('Données projet'!$B$13,Paramètres!$A$1:$I$89,5,0)</f>
        <v>128.66255999999998</v>
      </c>
      <c r="CV20" s="14">
        <f t="shared" si="41"/>
        <v>33.687130461083775</v>
      </c>
      <c r="CW20" s="22">
        <f t="shared" si="13"/>
        <v>282.75904421972086</v>
      </c>
      <c r="CX20" s="62">
        <f t="shared" si="14"/>
        <v>560.20348866416532</v>
      </c>
      <c r="CY20" s="62">
        <f ca="1">AVERAGE(OFFSET($CX$3,0,0,'Données projet'!$E$13+1,1))-AVERAGE(OFFSET($H$3,0,0,'Données projet'!$E$13+1,1))</f>
        <v>350.06545824795847</v>
      </c>
      <c r="CZ20" s="62">
        <f t="shared" si="42"/>
        <v>513.80016421153414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3.65</v>
      </c>
      <c r="DO20" s="13">
        <f>IF('Données projet'!$A$166&gt;35,DO19+DN20-DW19,IF(A20&lt;'Données projet'!$A$166,$DL$205^A20,IF(A20='Données projet'!$A$166,'Données projet'!$B$166,DO19+DN20-DW19)))</f>
        <v>38.355215845858055</v>
      </c>
      <c r="DP20" s="18">
        <f>DO20*VLOOKUP('Données projet'!$B$14,Paramètres!$A$1:$I$89,3,0)*VLOOKUP('Données projet'!$B$14,Paramètres!$A$1:$I$89,5,0)</f>
        <v>30.51540972696467</v>
      </c>
      <c r="DQ20" s="14">
        <f t="shared" si="43"/>
        <v>9.4465501585960947</v>
      </c>
      <c r="DR20" s="22">
        <f t="shared" si="16"/>
        <v>69.600413467351657</v>
      </c>
      <c r="DS20" s="62">
        <f t="shared" si="17"/>
        <v>347.0448579117961</v>
      </c>
      <c r="DT20" s="62">
        <f ca="1">AVERAGE(OFFSET($DS$3,0,0,'Données projet'!$E$14+1,1))-AVERAGE(OFFSET($H$3,0,0,'Données projet'!$E$14+1,1))</f>
        <v>382.14353215900121</v>
      </c>
      <c r="DU20" s="62">
        <f t="shared" si="44"/>
        <v>249.73945975250177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3.65</v>
      </c>
      <c r="N21" s="14">
        <f>IF('Données projet'!$A$36&gt;35,N20+M21-V20,IF(A21&lt;'Données projet'!$A$36,$K$205^A21,IF(A21='Données projet'!$A$36,'Données projet'!$B$36,N20+M21-V20)))</f>
        <v>47.532490941824946</v>
      </c>
      <c r="O21" s="14">
        <f>N21*VLOOKUP('Données projet'!$B$9,Paramètres!$A$1:$I$89,3,0)*VLOOKUP('Données projet'!$B$9,Paramètres!$A$1:$I$89,5,0)</f>
        <v>43.007397804163212</v>
      </c>
      <c r="P21" s="14">
        <f t="shared" si="33"/>
        <v>12.792363936215189</v>
      </c>
      <c r="Q21" s="22">
        <f t="shared" si="2"/>
        <v>97.184585031159045</v>
      </c>
      <c r="R21" s="62">
        <f t="shared" si="0"/>
        <v>375.85125169782572</v>
      </c>
      <c r="S21" s="62">
        <f ca="1">AVERAGE(OFFSET($R$3,0,0,'Données projet'!$E$9+1,1))-AVERAGE(OFFSET($H$3,0,0,'Données projet'!$E$9+1,1))</f>
        <v>429.08375622925655</v>
      </c>
      <c r="T21" s="62">
        <f t="shared" si="34"/>
        <v>278.21741231699929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3.65</v>
      </c>
      <c r="AI21" s="14">
        <f>IF('Données projet'!$A$62&gt;35,AI20+AH21-AQ20,IF(A21&lt;'Données projet'!$A$62,$AF$205^A21,IF(A21='Données projet'!$A$62,'Données projet'!$B$62,AI20+AH21-AQ20)))</f>
        <v>47.532490941824946</v>
      </c>
      <c r="AJ21" s="14">
        <f>AI21*VLOOKUP('Données projet'!$B$10,Paramètres!$A$1:$I$89,3,0)*VLOOKUP('Données projet'!$B$10,Paramètres!$A$1:$I$89,5,0)</f>
        <v>45.231918380240622</v>
      </c>
      <c r="AK21" s="14">
        <f t="shared" si="35"/>
        <v>13.375292045080878</v>
      </c>
      <c r="AL21" s="22">
        <f t="shared" si="4"/>
        <v>102.07422482410162</v>
      </c>
      <c r="AM21" s="62">
        <f t="shared" si="5"/>
        <v>380.74089149076832</v>
      </c>
      <c r="AN21" s="62">
        <f ca="1">AVERAGE(OFFSET($AM$3,0,0,'Données projet'!$E$10+1,1))-AVERAGE(OFFSET($H$3,0,0,'Données projet'!$E$10+1,1))</f>
        <v>449.16408464351673</v>
      </c>
      <c r="AO21" s="62">
        <f t="shared" si="36"/>
        <v>290.39826583283588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3.65</v>
      </c>
      <c r="BD21" s="13">
        <f>IF('Données projet'!$A$88&gt;35,BD20+BC21-BL20,IF(A21&lt;'Données projet'!$A$88,$BA$205^A21,IF(A21='Données projet'!$A$88,'Données projet'!$B$88,BD20+BC21-BL20)))</f>
        <v>47.532490941824946</v>
      </c>
      <c r="BE21" s="14">
        <f>BD21*VLOOKUP('Données projet'!$B$11,Paramètres!$A$1:$I$89,3,0)*VLOOKUP('Données projet'!$B$11,Paramètres!$A$1:$I$89,5,0)</f>
        <v>45.973425238933089</v>
      </c>
      <c r="BF21" s="14">
        <f t="shared" si="37"/>
        <v>13.56885270616201</v>
      </c>
      <c r="BG21" s="22">
        <f t="shared" si="7"/>
        <v>103.70280075437397</v>
      </c>
      <c r="BH21" s="62">
        <f t="shared" si="8"/>
        <v>382.36946742104067</v>
      </c>
      <c r="BI21" s="62">
        <f ca="1">AVERAGE(OFFSET($BH$3,0,0,'Données projet'!$E$11+1,1))-AVERAGE(OFFSET($H$3,0,0,'Données projet'!$E$11+1,1))</f>
        <v>455.85294519779609</v>
      </c>
      <c r="BJ21" s="62">
        <f t="shared" si="38"/>
        <v>294.45557293177131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16.2</v>
      </c>
      <c r="BY21" s="13">
        <f>IF('Données projet'!$A$114&gt;35,BY20+BX21-CG20,IF(A21&lt;'Données projet'!$A$114,$BV$205^A21,IF(A21='Données projet'!$A$114,'Données projet'!$B$114,BY20+BX21-CG20)))</f>
        <v>121.60000000000001</v>
      </c>
      <c r="BZ21" s="14">
        <f>BY21*VLOOKUP('Données projet'!$B$12,Paramètres!$A$1:$I$89,3,0)*VLOOKUP('Données projet'!$B$12,Paramètres!$A$1:$I$89,5,0)</f>
        <v>106.22976000000003</v>
      </c>
      <c r="CA21" s="14">
        <f t="shared" si="39"/>
        <v>28.440891625171492</v>
      </c>
      <c r="CB21" s="22">
        <f t="shared" si="10"/>
        <v>234.55138491384039</v>
      </c>
      <c r="CC21" s="62">
        <f t="shared" si="11"/>
        <v>513.21805158050711</v>
      </c>
      <c r="CD21" s="62">
        <f ca="1">AVERAGE(OFFSET($CC$3,0,0,'Données projet'!$E$12+1,1))-AVERAGE(OFFSET($H$3,0,0,'Données projet'!$E$12+1,1))</f>
        <v>304.32767345253382</v>
      </c>
      <c r="CE21" s="62">
        <f t="shared" si="40"/>
        <v>427.16091343339173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12.6</v>
      </c>
      <c r="CT21" s="13">
        <f>IF('Données projet'!$A$140&gt;35,CT20+CS21-DB20,IF(A21&lt;'Données projet'!$A$140,$CQ$205^A21,IF(A21='Données projet'!$A$140,'Données projet'!$B$140,CT20+CS21-DB20)))</f>
        <v>154.79999999999998</v>
      </c>
      <c r="CU21" s="18">
        <f>CT21*VLOOKUP('Données projet'!$B$13,Paramètres!$A$1:$I$89,3,0)*VLOOKUP('Données projet'!$B$13,Paramètres!$A$1:$I$89,5,0)</f>
        <v>140.06303999999997</v>
      </c>
      <c r="CV21" s="14">
        <f t="shared" si="41"/>
        <v>36.31144669536954</v>
      </c>
      <c r="CW21" s="22">
        <f t="shared" si="13"/>
        <v>307.18556432776853</v>
      </c>
      <c r="CX21" s="62">
        <f t="shared" si="14"/>
        <v>585.85223099443522</v>
      </c>
      <c r="CY21" s="62">
        <f ca="1">AVERAGE(OFFSET($CX$3,0,0,'Données projet'!$E$13+1,1))-AVERAGE(OFFSET($H$3,0,0,'Données projet'!$E$13+1,1))</f>
        <v>350.06545824795847</v>
      </c>
      <c r="CZ21" s="62">
        <f t="shared" si="42"/>
        <v>513.80016421153414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3.65</v>
      </c>
      <c r="DO21" s="13">
        <f>IF('Données projet'!$A$166&gt;35,DO20+DN21-DW20,IF(A21&lt;'Données projet'!$A$166,$DL$205^A21,IF(A21='Données projet'!$A$166,'Données projet'!$B$166,DO20+DN21-DW20)))</f>
        <v>47.532490941824946</v>
      </c>
      <c r="DP21" s="18">
        <f>DO21*VLOOKUP('Données projet'!$B$14,Paramètres!$A$1:$I$89,3,0)*VLOOKUP('Données projet'!$B$14,Paramètres!$A$1:$I$89,5,0)</f>
        <v>37.816849793315932</v>
      </c>
      <c r="DQ21" s="14">
        <f t="shared" si="43"/>
        <v>11.418126202019193</v>
      </c>
      <c r="DR21" s="22">
        <f t="shared" si="16"/>
        <v>85.750916525208666</v>
      </c>
      <c r="DS21" s="62">
        <f t="shared" si="17"/>
        <v>364.41758319187534</v>
      </c>
      <c r="DT21" s="62">
        <f ca="1">AVERAGE(OFFSET($DS$3,0,0,'Données projet'!$E$14+1,1))-AVERAGE(OFFSET($H$3,0,0,'Données projet'!$E$14+1,1))</f>
        <v>382.14353215900121</v>
      </c>
      <c r="DU21" s="62">
        <f t="shared" si="44"/>
        <v>249.73945975250177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3.65</v>
      </c>
      <c r="N22" s="14">
        <f>IF('Données projet'!$A$36&gt;35,N21+M22-V21,IF(A22&lt;'Données projet'!$A$36,$K$205^A22,IF(A22='Données projet'!$A$36,'Données projet'!$B$36,N21+M22-V21)))</f>
        <v>58.90561805764559</v>
      </c>
      <c r="O22" s="14">
        <f>N22*VLOOKUP('Données projet'!$B$9,Paramètres!$A$1:$I$89,3,0)*VLOOKUP('Données projet'!$B$9,Paramètres!$A$1:$I$89,5,0)</f>
        <v>53.297803218557732</v>
      </c>
      <c r="P22" s="14">
        <f t="shared" si="33"/>
        <v>15.462240012873817</v>
      </c>
      <c r="Q22" s="22">
        <f t="shared" si="2"/>
        <v>119.75707529474329</v>
      </c>
      <c r="R22" s="62">
        <f t="shared" si="0"/>
        <v>399.64596418363215</v>
      </c>
      <c r="S22" s="62">
        <f ca="1">AVERAGE(OFFSET($R$3,0,0,'Données projet'!$E$9+1,1))-AVERAGE(OFFSET($H$3,0,0,'Données projet'!$E$9+1,1))</f>
        <v>429.08375622925655</v>
      </c>
      <c r="T22" s="62">
        <f t="shared" si="34"/>
        <v>278.21741231699929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3.65</v>
      </c>
      <c r="AI22" s="14">
        <f>IF('Données projet'!$A$62&gt;35,AI21+AH22-AQ21,IF(A22&lt;'Données projet'!$A$62,$AF$205^A22,IF(A22='Données projet'!$A$62,'Données projet'!$B$62,AI21+AH22-AQ21)))</f>
        <v>58.90561805764559</v>
      </c>
      <c r="AJ22" s="14">
        <f>AI22*VLOOKUP('Données projet'!$B$10,Paramètres!$A$1:$I$89,3,0)*VLOOKUP('Données projet'!$B$10,Paramètres!$A$1:$I$89,5,0)</f>
        <v>56.054586143655548</v>
      </c>
      <c r="AK22" s="14">
        <f t="shared" si="35"/>
        <v>16.166830217973832</v>
      </c>
      <c r="AL22" s="22">
        <f t="shared" si="4"/>
        <v>125.78563349650449</v>
      </c>
      <c r="AM22" s="62">
        <f t="shared" si="5"/>
        <v>405.67452238539335</v>
      </c>
      <c r="AN22" s="62">
        <f ca="1">AVERAGE(OFFSET($AM$3,0,0,'Données projet'!$E$10+1,1))-AVERAGE(OFFSET($H$3,0,0,'Données projet'!$E$10+1,1))</f>
        <v>449.16408464351673</v>
      </c>
      <c r="AO22" s="62">
        <f t="shared" si="36"/>
        <v>290.39826583283588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3.65</v>
      </c>
      <c r="BD22" s="13">
        <f>IF('Données projet'!$A$88&gt;35,BD21+BC22-BL21,IF(A22&lt;'Données projet'!$A$88,$BA$205^A22,IF(A22='Données projet'!$A$88,'Données projet'!$B$88,BD21+BC22-BL21)))</f>
        <v>58.90561805764559</v>
      </c>
      <c r="BE22" s="14">
        <f>BD22*VLOOKUP('Données projet'!$B$11,Paramètres!$A$1:$I$89,3,0)*VLOOKUP('Données projet'!$B$11,Paramètres!$A$1:$I$89,5,0)</f>
        <v>56.973513785354818</v>
      </c>
      <c r="BF22" s="14">
        <f t="shared" si="37"/>
        <v>16.400788649238766</v>
      </c>
      <c r="BG22" s="22">
        <f t="shared" si="7"/>
        <v>127.7935767402505</v>
      </c>
      <c r="BH22" s="62">
        <f t="shared" si="8"/>
        <v>407.68246562913936</v>
      </c>
      <c r="BI22" s="62">
        <f ca="1">AVERAGE(OFFSET($BH$3,0,0,'Données projet'!$E$11+1,1))-AVERAGE(OFFSET($H$3,0,0,'Données projet'!$E$11+1,1))</f>
        <v>455.85294519779609</v>
      </c>
      <c r="BJ22" s="62">
        <f t="shared" si="38"/>
        <v>294.45557293177131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16.2</v>
      </c>
      <c r="BY22" s="13">
        <f>IF('Données projet'!$A$114&gt;35,BY21+BX22-CG21,IF(A22&lt;'Données projet'!$A$114,$BV$205^A22,IF(A22='Données projet'!$A$114,'Données projet'!$B$114,BY21+BX22-CG21)))</f>
        <v>137.80000000000001</v>
      </c>
      <c r="BZ22" s="14">
        <f>BY22*VLOOKUP('Données projet'!$B$12,Paramètres!$A$1:$I$89,3,0)*VLOOKUP('Données projet'!$B$12,Paramètres!$A$1:$I$89,5,0)</f>
        <v>120.38208000000003</v>
      </c>
      <c r="CA22" s="14">
        <f t="shared" si="39"/>
        <v>31.76409668560358</v>
      </c>
      <c r="CB22" s="22">
        <f t="shared" si="10"/>
        <v>264.98792439409294</v>
      </c>
      <c r="CC22" s="62">
        <f t="shared" si="11"/>
        <v>544.87681328298186</v>
      </c>
      <c r="CD22" s="62">
        <f ca="1">AVERAGE(OFFSET($CC$3,0,0,'Données projet'!$E$12+1,1))-AVERAGE(OFFSET($H$3,0,0,'Données projet'!$E$12+1,1))</f>
        <v>304.32767345253382</v>
      </c>
      <c r="CE22" s="62">
        <f t="shared" si="40"/>
        <v>427.16091343339173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12.6</v>
      </c>
      <c r="CT22" s="13">
        <f>IF('Données projet'!$A$140&gt;35,CT21+CS22-DB21,IF(A22&lt;'Données projet'!$A$140,$CQ$205^A22,IF(A22='Données projet'!$A$140,'Données projet'!$B$140,CT21+CS22-DB21)))</f>
        <v>167.39999999999998</v>
      </c>
      <c r="CU22" s="18">
        <f>CT22*VLOOKUP('Données projet'!$B$13,Paramètres!$A$1:$I$89,3,0)*VLOOKUP('Données projet'!$B$13,Paramètres!$A$1:$I$89,5,0)</f>
        <v>151.46351999999999</v>
      </c>
      <c r="CV22" s="14">
        <f t="shared" si="41"/>
        <v>38.910987614777085</v>
      </c>
      <c r="CW22" s="22">
        <f t="shared" si="13"/>
        <v>331.56893409573678</v>
      </c>
      <c r="CX22" s="62">
        <f t="shared" si="14"/>
        <v>611.45782298462564</v>
      </c>
      <c r="CY22" s="62">
        <f ca="1">AVERAGE(OFFSET($CX$3,0,0,'Données projet'!$E$13+1,1))-AVERAGE(OFFSET($H$3,0,0,'Données projet'!$E$13+1,1))</f>
        <v>350.06545824795847</v>
      </c>
      <c r="CZ22" s="62">
        <f t="shared" si="42"/>
        <v>513.80016421153414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3.65</v>
      </c>
      <c r="DO22" s="13">
        <f>IF('Données projet'!$A$166&gt;35,DO21+DN22-DW21,IF(A22&lt;'Données projet'!$A$166,$DL$205^A22,IF(A22='Données projet'!$A$166,'Données projet'!$B$166,DO21+DN22-DW21)))</f>
        <v>58.90561805764559</v>
      </c>
      <c r="DP22" s="18">
        <f>DO22*VLOOKUP('Données projet'!$B$14,Paramètres!$A$1:$I$89,3,0)*VLOOKUP('Données projet'!$B$14,Paramètres!$A$1:$I$89,5,0)</f>
        <v>46.865309726662836</v>
      </c>
      <c r="DQ22" s="14">
        <f t="shared" si="43"/>
        <v>13.801187076384805</v>
      </c>
      <c r="DR22" s="22">
        <f t="shared" si="16"/>
        <v>105.66081526530797</v>
      </c>
      <c r="DS22" s="62">
        <f t="shared" si="17"/>
        <v>385.54970415419683</v>
      </c>
      <c r="DT22" s="62">
        <f ca="1">AVERAGE(OFFSET($DS$3,0,0,'Données projet'!$E$14+1,1))-AVERAGE(OFFSET($H$3,0,0,'Données projet'!$E$14+1,1))</f>
        <v>382.14353215900121</v>
      </c>
      <c r="DU22" s="62">
        <f t="shared" si="44"/>
        <v>249.73945975250177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73</v>
      </c>
      <c r="L23" s="13">
        <f>VLOOKUP(A23,'Données projet'!$A$35:$I$55,9,0)</f>
        <v>3.65</v>
      </c>
      <c r="M23" s="13">
        <f t="array" ref="M23">INDEX(L:L,MIN(IF(ISNUMBER(L23:L219),ROW(L23:L219),"")))</f>
        <v>3.65</v>
      </c>
      <c r="N23" s="14">
        <f>IF('Données projet'!$A$36&gt;35,N22+M23-V22,IF(A23&lt;'Données projet'!$A$36,$K$205^A23,IF(A23='Données projet'!$A$36,'Données projet'!$B$36,N22+M23-V22)))</f>
        <v>73</v>
      </c>
      <c r="O23" s="14">
        <f>N23*VLOOKUP('Données projet'!$B$9,Paramètres!$A$1:$I$89,3,0)*VLOOKUP('Données projet'!$B$9,Paramètres!$A$1:$I$89,5,0)</f>
        <v>66.050399999999996</v>
      </c>
      <c r="P23" s="14">
        <f t="shared" si="33"/>
        <v>18.689342126897891</v>
      </c>
      <c r="Q23" s="22">
        <f t="shared" si="2"/>
        <v>147.58838420434714</v>
      </c>
      <c r="R23" s="62">
        <f t="shared" si="0"/>
        <v>428.69949531545831</v>
      </c>
      <c r="S23" s="62">
        <f ca="1">AVERAGE(OFFSET($R$3,0,0,'Données projet'!$E$9+1,1))-AVERAGE(OFFSET($H$3,0,0,'Données projet'!$E$9+1,1))</f>
        <v>429.08375622925655</v>
      </c>
      <c r="T23" s="62">
        <f t="shared" si="34"/>
        <v>278.21741231699929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6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73</v>
      </c>
      <c r="AG23" s="13">
        <f>VLOOKUP(A23,'Données projet'!$A$61:$I$81,9,0)</f>
        <v>3.65</v>
      </c>
      <c r="AH23" s="13">
        <f t="array" ref="AH23">INDEX(AG:AG,MIN(IF(ISNUMBER(AG23:AG219),ROW(AG23:AG219),"")))</f>
        <v>3.65</v>
      </c>
      <c r="AI23" s="14">
        <f>IF('Données projet'!$A$62&gt;35,AI22+AH23-AQ22,IF(A23&lt;'Données projet'!$A$62,$AF$205^A23,IF(A23='Données projet'!$A$62,'Données projet'!$B$62,AI22+AH23-AQ22)))</f>
        <v>73</v>
      </c>
      <c r="AJ23" s="14">
        <f>AI23*VLOOKUP('Données projet'!$B$10,Paramètres!$A$1:$I$89,3,0)*VLOOKUP('Données projet'!$B$10,Paramètres!$A$1:$I$89,5,0)</f>
        <v>69.466800000000006</v>
      </c>
      <c r="AK23" s="14">
        <f t="shared" si="35"/>
        <v>19.540986351241298</v>
      </c>
      <c r="AL23" s="22">
        <f t="shared" si="4"/>
        <v>155.02189456174526</v>
      </c>
      <c r="AM23" s="62">
        <f t="shared" si="5"/>
        <v>436.13300567285637</v>
      </c>
      <c r="AN23" s="62">
        <f ca="1">AVERAGE(OFFSET($AM$3,0,0,'Données projet'!$E$10+1,1))-AVERAGE(OFFSET($H$3,0,0,'Données projet'!$E$10+1,1))</f>
        <v>449.16408464351673</v>
      </c>
      <c r="AO23" s="62">
        <f t="shared" si="36"/>
        <v>290.39826583283588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6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73</v>
      </c>
      <c r="BB23" s="13">
        <f>VLOOKUP(A23,'Données projet'!$A$87:$I$107,9,0)</f>
        <v>3.65</v>
      </c>
      <c r="BC23" s="13">
        <f t="array" ref="BC23">INDEX(BB:BB,MIN(IF(ISNUMBER(BB23:BB219),ROW(BB23:BB219),"")))</f>
        <v>3.65</v>
      </c>
      <c r="BD23" s="13">
        <f>IF('Données projet'!$A$88&gt;35,BD22+BC23-BL22,IF(A23&lt;'Données projet'!$A$88,$BA$205^A23,IF(A23='Données projet'!$A$88,'Données projet'!$B$88,BD22+BC23-BL22)))</f>
        <v>73</v>
      </c>
      <c r="BE23" s="14">
        <f>BD23*VLOOKUP('Données projet'!$B$11,Paramètres!$A$1:$I$89,3,0)*VLOOKUP('Données projet'!$B$11,Paramètres!$A$1:$I$89,5,0)</f>
        <v>70.605599999999995</v>
      </c>
      <c r="BF23" s="14">
        <f t="shared" si="37"/>
        <v>19.823773913828742</v>
      </c>
      <c r="BG23" s="22">
        <f t="shared" si="7"/>
        <v>157.49782623325171</v>
      </c>
      <c r="BH23" s="62">
        <f t="shared" si="8"/>
        <v>438.60893734436286</v>
      </c>
      <c r="BI23" s="62">
        <f ca="1">AVERAGE(OFFSET($BH$3,0,0,'Données projet'!$E$11+1,1))-AVERAGE(OFFSET($H$3,0,0,'Données projet'!$E$11+1,1))</f>
        <v>455.85294519779609</v>
      </c>
      <c r="BJ23" s="62">
        <f t="shared" si="38"/>
        <v>294.45557293177131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6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154</v>
      </c>
      <c r="BW23" s="13">
        <f>VLOOKUP(A23,'Données projet'!$A$113:$I$133,9,0)</f>
        <v>16.2</v>
      </c>
      <c r="BX23" s="13">
        <f t="array" ref="BX23">INDEX(BW:BW,MIN(IF(ISNUMBER(BW23:BW219),ROW(BW23:BW219),"")))</f>
        <v>16.2</v>
      </c>
      <c r="BY23" s="13">
        <f>IF('Données projet'!$A$114&gt;35,BY22+BX23-CG22,IF(A23&lt;'Données projet'!$A$114,$BV$205^A23,IF(A23='Données projet'!$A$114,'Données projet'!$B$114,BY22+BX23-CG22)))</f>
        <v>154</v>
      </c>
      <c r="BZ23" s="14">
        <f>BY23*VLOOKUP('Données projet'!$B$12,Paramètres!$A$1:$I$89,3,0)*VLOOKUP('Données projet'!$B$12,Paramètres!$A$1:$I$89,5,0)</f>
        <v>134.53440000000001</v>
      </c>
      <c r="CA23" s="14">
        <f t="shared" si="39"/>
        <v>35.042026165482234</v>
      </c>
      <c r="CB23" s="22">
        <f t="shared" si="10"/>
        <v>295.34560890488154</v>
      </c>
      <c r="CC23" s="62">
        <f t="shared" si="11"/>
        <v>576.45672001599269</v>
      </c>
      <c r="CD23" s="62">
        <f ca="1">AVERAGE(OFFSET($CC$3,0,0,'Données projet'!$E$12+1,1))-AVERAGE(OFFSET($H$3,0,0,'Données projet'!$E$12+1,1))</f>
        <v>304.32767345253382</v>
      </c>
      <c r="CE23" s="62">
        <f t="shared" si="40"/>
        <v>427.16091343339173</v>
      </c>
      <c r="CF23" s="16">
        <f>IF(ISNA(VLOOKUP(A23,'Données projet'!$A$113:$I$133,3,0)),0,VLOOKUP(A23,'Données projet'!$A$113:$I$133,3,0))</f>
        <v>2</v>
      </c>
      <c r="CG23" s="16">
        <f>IF(ISNA(VLOOKUP(A23,'Données projet'!$A$113:$I$133,4,0)),0,VLOOKUP(A23,'Données projet'!$A$113:$I$133,4,0))</f>
        <v>50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180</v>
      </c>
      <c r="CR23" s="13">
        <f>VLOOKUP(A23,'Données projet'!$A$139:$I$159,9,0)</f>
        <v>12.6</v>
      </c>
      <c r="CS23" s="13">
        <f t="array" ref="CS23">INDEX(CR:CR,MIN(IF(ISNUMBER(CR23:CR219),ROW(CR23:CR219),"")))</f>
        <v>12.6</v>
      </c>
      <c r="CT23" s="13">
        <f>IF('Données projet'!$A$140&gt;35,CT22+CS23-DB22,IF(A23&lt;'Données projet'!$A$140,$CQ$205^A23,IF(A23='Données projet'!$A$140,'Données projet'!$B$140,CT22+CS23-DB22)))</f>
        <v>179.99999999999997</v>
      </c>
      <c r="CU23" s="18">
        <f>CT23*VLOOKUP('Données projet'!$B$13,Paramètres!$A$1:$I$89,3,0)*VLOOKUP('Données projet'!$B$13,Paramètres!$A$1:$I$89,5,0)</f>
        <v>162.86399999999998</v>
      </c>
      <c r="CV23" s="14">
        <f t="shared" si="41"/>
        <v>41.487830069509123</v>
      </c>
      <c r="CW23" s="22">
        <f t="shared" si="13"/>
        <v>355.91277070439497</v>
      </c>
      <c r="CX23" s="62">
        <f t="shared" si="14"/>
        <v>637.02388181550612</v>
      </c>
      <c r="CY23" s="62">
        <f ca="1">AVERAGE(OFFSET($CX$3,0,0,'Données projet'!$E$13+1,1))-AVERAGE(OFFSET($H$3,0,0,'Données projet'!$E$13+1,1))</f>
        <v>350.06545824795847</v>
      </c>
      <c r="CZ23" s="62">
        <f t="shared" si="42"/>
        <v>513.80016421153414</v>
      </c>
      <c r="DA23" s="16">
        <f>IF(ISNA(VLOOKUP(A23,'Données projet'!$A$139:$I$159,3,0)),0,VLOOKUP(A23,'Données projet'!$A$139:$I$159,3,0))</f>
        <v>2</v>
      </c>
      <c r="DB23" s="16">
        <f>IF(ISNA(VLOOKUP(A23,'Données projet'!$A$139:$I$159,4,0)),0,VLOOKUP(A23,'Données projet'!$A$139:$I$159,4,0))</f>
        <v>18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73</v>
      </c>
      <c r="DM23" s="13">
        <f>VLOOKUP(A23,'Données projet'!$A$165:$I$185,9,0)</f>
        <v>3.65</v>
      </c>
      <c r="DN23" s="13">
        <f t="array" ref="DN23">INDEX(DM:DM,MIN(IF(ISNUMBER(DM23:DM219),ROW(DM23:DM219),"")))</f>
        <v>3.65</v>
      </c>
      <c r="DO23" s="13">
        <f>IF('Données projet'!$A$166&gt;35,DO22+DN23-DW22,IF(A23&lt;'Données projet'!$A$166,$DL$205^A23,IF(A23='Données projet'!$A$166,'Données projet'!$B$166,DO22+DN23-DW22)))</f>
        <v>73</v>
      </c>
      <c r="DP23" s="18">
        <f>DO23*VLOOKUP('Données projet'!$B$14,Paramètres!$A$1:$I$89,3,0)*VLOOKUP('Données projet'!$B$14,Paramètres!$A$1:$I$89,5,0)</f>
        <v>58.078800000000008</v>
      </c>
      <c r="DQ23" s="14">
        <f t="shared" si="43"/>
        <v>16.681613195314618</v>
      </c>
      <c r="DR23" s="22">
        <f t="shared" si="16"/>
        <v>130.2077196485063</v>
      </c>
      <c r="DS23" s="62">
        <f t="shared" si="17"/>
        <v>411.31883075961741</v>
      </c>
      <c r="DT23" s="62">
        <f ca="1">AVERAGE(OFFSET($DS$3,0,0,'Données projet'!$E$14+1,1))-AVERAGE(OFFSET($H$3,0,0,'Données projet'!$E$14+1,1))</f>
        <v>382.14353215900121</v>
      </c>
      <c r="DU23" s="62">
        <f t="shared" si="44"/>
        <v>249.73945975250177</v>
      </c>
      <c r="DV23" s="16">
        <f>IF(ISNA(VLOOKUP(A23,'Données projet'!$A$165:$I$185,3,0)),0,VLOOKUP(A23,'Données projet'!$A$165:$I$185,3,0))</f>
        <v>1</v>
      </c>
      <c r="DW23" s="16">
        <f>IF(ISNA(VLOOKUP(A23,'Données projet'!$A$165:$I$185,4,0)),0,VLOOKUP(A23,'Données projet'!$A$165:$I$185,4,0))</f>
        <v>6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7.2</v>
      </c>
      <c r="N24" s="14">
        <f>IF('Données projet'!$A$36&gt;35,N23+M24-V23,IF(A24&lt;'Données projet'!$A$36,$K$205^A24,IF(A24='Données projet'!$A$36,'Données projet'!$B$36,N23+M24-V23)))</f>
        <v>74.2</v>
      </c>
      <c r="O24" s="14">
        <f>N24*VLOOKUP('Données projet'!$B$9,Paramètres!$A$1:$I$89,3,0)*VLOOKUP('Données projet'!$B$9,Paramètres!$A$1:$I$89,5,0)</f>
        <v>67.136160000000004</v>
      </c>
      <c r="P24" s="14">
        <f t="shared" si="33"/>
        <v>18.960545405756019</v>
      </c>
      <c r="Q24" s="22">
        <f t="shared" si="2"/>
        <v>149.95176191502506</v>
      </c>
      <c r="R24" s="62">
        <f t="shared" si="0"/>
        <v>432.2850952483584</v>
      </c>
      <c r="S24" s="62">
        <f ca="1">AVERAGE(OFFSET($R$3,0,0,'Données projet'!$E$9+1,1))-AVERAGE(OFFSET($H$3,0,0,'Données projet'!$E$9+1,1))</f>
        <v>429.08375622925655</v>
      </c>
      <c r="T24" s="62">
        <f t="shared" si="34"/>
        <v>278.21741231699929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7.2</v>
      </c>
      <c r="AI24" s="14">
        <f>IF('Données projet'!$A$62&gt;35,AI23+AH24-AQ23,IF(A24&lt;'Données projet'!$A$62,$AF$205^A24,IF(A24='Données projet'!$A$62,'Données projet'!$B$62,AI23+AH24-AQ23)))</f>
        <v>74.2</v>
      </c>
      <c r="AJ24" s="14">
        <f>AI24*VLOOKUP('Données projet'!$B$10,Paramètres!$A$1:$I$89,3,0)*VLOOKUP('Données projet'!$B$10,Paramètres!$A$1:$I$89,5,0)</f>
        <v>70.608720000000005</v>
      </c>
      <c r="AK24" s="14">
        <f t="shared" si="35"/>
        <v>19.824547941295929</v>
      </c>
      <c r="AL24" s="22">
        <f t="shared" si="4"/>
        <v>157.50460833109042</v>
      </c>
      <c r="AM24" s="62">
        <f t="shared" si="5"/>
        <v>439.83794166442374</v>
      </c>
      <c r="AN24" s="62">
        <f ca="1">AVERAGE(OFFSET($AM$3,0,0,'Données projet'!$E$10+1,1))-AVERAGE(OFFSET($H$3,0,0,'Données projet'!$E$10+1,1))</f>
        <v>449.16408464351673</v>
      </c>
      <c r="AO24" s="62">
        <f t="shared" si="36"/>
        <v>290.39826583283588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7.2</v>
      </c>
      <c r="BD24" s="13">
        <f>IF('Données projet'!$A$88&gt;35,BD23+BC24-BL23,IF(A24&lt;'Données projet'!$A$88,$BA$205^A24,IF(A24='Données projet'!$A$88,'Données projet'!$B$88,BD23+BC24-BL23)))</f>
        <v>74.2</v>
      </c>
      <c r="BE24" s="14">
        <f>BD24*VLOOKUP('Données projet'!$B$11,Paramètres!$A$1:$I$89,3,0)*VLOOKUP('Données projet'!$B$11,Paramètres!$A$1:$I$89,5,0)</f>
        <v>71.76624000000001</v>
      </c>
      <c r="BF24" s="14">
        <f t="shared" si="37"/>
        <v>20.111439068025625</v>
      </c>
      <c r="BG24" s="22">
        <f t="shared" si="7"/>
        <v>160.02029104347795</v>
      </c>
      <c r="BH24" s="62">
        <f t="shared" si="8"/>
        <v>442.35362437681124</v>
      </c>
      <c r="BI24" s="62">
        <f ca="1">AVERAGE(OFFSET($BH$3,0,0,'Données projet'!$E$11+1,1))-AVERAGE(OFFSET($H$3,0,0,'Données projet'!$E$11+1,1))</f>
        <v>455.85294519779609</v>
      </c>
      <c r="BJ24" s="62">
        <f t="shared" si="38"/>
        <v>294.45557293177131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15.8</v>
      </c>
      <c r="BY24" s="13">
        <f>IF('Données projet'!$A$114&gt;35,BY23+BX24-CG23,IF(A24&lt;'Données projet'!$A$114,$BV$205^A24,IF(A24='Données projet'!$A$114,'Données projet'!$B$114,BY23+BX24-CG23)))</f>
        <v>119.80000000000001</v>
      </c>
      <c r="BZ24" s="14">
        <f>BY24*VLOOKUP('Données projet'!$B$12,Paramètres!$A$1:$I$89,3,0)*VLOOKUP('Données projet'!$B$12,Paramètres!$A$1:$I$89,5,0)</f>
        <v>104.65728000000001</v>
      </c>
      <c r="CA24" s="14">
        <f t="shared" si="39"/>
        <v>28.068573730915457</v>
      </c>
      <c r="CB24" s="22">
        <f t="shared" si="10"/>
        <v>231.16419524801108</v>
      </c>
      <c r="CC24" s="62">
        <f t="shared" si="11"/>
        <v>513.49752858134434</v>
      </c>
      <c r="CD24" s="62">
        <f ca="1">AVERAGE(OFFSET($CC$3,0,0,'Données projet'!$E$12+1,1))-AVERAGE(OFFSET($H$3,0,0,'Données projet'!$E$12+1,1))</f>
        <v>304.32767345253382</v>
      </c>
      <c r="CE24" s="62">
        <f t="shared" si="40"/>
        <v>427.16091343339173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10.4</v>
      </c>
      <c r="CT24" s="13">
        <f>IF('Données projet'!$A$140&gt;35,CT23+CS24-DB23,IF(A24&lt;'Données projet'!$A$140,$CQ$205^A24,IF(A24='Données projet'!$A$140,'Données projet'!$B$140,CT23+CS24-DB23)))</f>
        <v>172.39999999999998</v>
      </c>
      <c r="CU24" s="18">
        <f>CT24*VLOOKUP('Données projet'!$B$13,Paramètres!$A$1:$I$89,3,0)*VLOOKUP('Données projet'!$B$13,Paramètres!$A$1:$I$89,5,0)</f>
        <v>155.98751999999996</v>
      </c>
      <c r="CV24" s="14">
        <f t="shared" si="41"/>
        <v>39.936155927663087</v>
      </c>
      <c r="CW24" s="22">
        <f t="shared" si="13"/>
        <v>341.23373557401311</v>
      </c>
      <c r="CX24" s="62">
        <f t="shared" si="14"/>
        <v>623.56706890734642</v>
      </c>
      <c r="CY24" s="62">
        <f ca="1">AVERAGE(OFFSET($CX$3,0,0,'Données projet'!$E$13+1,1))-AVERAGE(OFFSET($H$3,0,0,'Données projet'!$E$13+1,1))</f>
        <v>350.06545824795847</v>
      </c>
      <c r="CZ24" s="62">
        <f t="shared" si="42"/>
        <v>513.80016421153414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7.2</v>
      </c>
      <c r="DO24" s="13">
        <f>IF('Données projet'!$A$166&gt;35,DO23+DN24-DW23,IF(A24&lt;'Données projet'!$A$166,$DL$205^A24,IF(A24='Données projet'!$A$166,'Données projet'!$B$166,DO23+DN24-DW23)))</f>
        <v>74.2</v>
      </c>
      <c r="DP24" s="18">
        <f>DO24*VLOOKUP('Données projet'!$B$14,Paramètres!$A$1:$I$89,3,0)*VLOOKUP('Données projet'!$B$14,Paramètres!$A$1:$I$89,5,0)</f>
        <v>59.033520000000003</v>
      </c>
      <c r="DQ24" s="14">
        <f t="shared" si="43"/>
        <v>16.923682079521132</v>
      </c>
      <c r="DR24" s="22">
        <f t="shared" si="16"/>
        <v>132.29212695516597</v>
      </c>
      <c r="DS24" s="62">
        <f t="shared" si="17"/>
        <v>414.62546028849931</v>
      </c>
      <c r="DT24" s="62">
        <f ca="1">AVERAGE(OFFSET($DS$3,0,0,'Données projet'!$E$14+1,1))-AVERAGE(OFFSET($H$3,0,0,'Données projet'!$E$14+1,1))</f>
        <v>382.14353215900121</v>
      </c>
      <c r="DU24" s="62">
        <f t="shared" si="44"/>
        <v>249.73945975250177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7.2</v>
      </c>
      <c r="N25" s="14">
        <f>IF('Données projet'!$A$36&gt;35,N24+M25-V24,IF(A25&lt;'Données projet'!$A$36,$K$205^A25,IF(A25='Données projet'!$A$36,'Données projet'!$B$36,N24+M25-V24)))</f>
        <v>81.400000000000006</v>
      </c>
      <c r="O25" s="14">
        <f>N25*VLOOKUP('Données projet'!$B$9,Paramètres!$A$1:$I$89,3,0)*VLOOKUP('Données projet'!$B$9,Paramètres!$A$1:$I$89,5,0)</f>
        <v>73.650720000000007</v>
      </c>
      <c r="P25" s="14">
        <f t="shared" si="33"/>
        <v>20.577360172493922</v>
      </c>
      <c r="Q25" s="22">
        <f t="shared" si="2"/>
        <v>164.11390630042692</v>
      </c>
      <c r="R25" s="62">
        <f t="shared" si="0"/>
        <v>447.66946185598249</v>
      </c>
      <c r="S25" s="62">
        <f ca="1">AVERAGE(OFFSET($R$3,0,0,'Données projet'!$E$9+1,1))-AVERAGE(OFFSET($H$3,0,0,'Données projet'!$E$9+1,1))</f>
        <v>429.08375622925655</v>
      </c>
      <c r="T25" s="62">
        <f t="shared" si="34"/>
        <v>278.21741231699929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7.2</v>
      </c>
      <c r="AI25" s="14">
        <f>IF('Données projet'!$A$62&gt;35,AI24+AH25-AQ24,IF(A25&lt;'Données projet'!$A$62,$AF$205^A25,IF(A25='Données projet'!$A$62,'Données projet'!$B$62,AI24+AH25-AQ24)))</f>
        <v>81.400000000000006</v>
      </c>
      <c r="AJ25" s="14">
        <f>AI25*VLOOKUP('Données projet'!$B$10,Paramètres!$A$1:$I$89,3,0)*VLOOKUP('Données projet'!$B$10,Paramètres!$A$1:$I$89,5,0)</f>
        <v>77.460240000000013</v>
      </c>
      <c r="AK25" s="14">
        <f t="shared" si="35"/>
        <v>21.515038439826668</v>
      </c>
      <c r="AL25" s="22">
        <f t="shared" si="4"/>
        <v>172.3819432826981</v>
      </c>
      <c r="AM25" s="62">
        <f t="shared" si="5"/>
        <v>455.93749883825365</v>
      </c>
      <c r="AN25" s="62">
        <f ca="1">AVERAGE(OFFSET($AM$3,0,0,'Données projet'!$E$10+1,1))-AVERAGE(OFFSET($H$3,0,0,'Données projet'!$E$10+1,1))</f>
        <v>449.16408464351673</v>
      </c>
      <c r="AO25" s="62">
        <f t="shared" si="36"/>
        <v>290.39826583283588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7.2</v>
      </c>
      <c r="BD25" s="13">
        <f>IF('Données projet'!$A$88&gt;35,BD24+BC25-BL24,IF(A25&lt;'Données projet'!$A$88,$BA$205^A25,IF(A25='Données projet'!$A$88,'Données projet'!$B$88,BD24+BC25-BL24)))</f>
        <v>81.400000000000006</v>
      </c>
      <c r="BE25" s="14">
        <f>BD25*VLOOKUP('Données projet'!$B$11,Paramètres!$A$1:$I$89,3,0)*VLOOKUP('Données projet'!$B$11,Paramètres!$A$1:$I$89,5,0)</f>
        <v>78.730080000000015</v>
      </c>
      <c r="BF25" s="14">
        <f t="shared" si="37"/>
        <v>21.826393515256996</v>
      </c>
      <c r="BG25" s="22">
        <f t="shared" si="7"/>
        <v>175.13585803907259</v>
      </c>
      <c r="BH25" s="62">
        <f t="shared" si="8"/>
        <v>458.6914135946281</v>
      </c>
      <c r="BI25" s="62">
        <f ca="1">AVERAGE(OFFSET($BH$3,0,0,'Données projet'!$E$11+1,1))-AVERAGE(OFFSET($H$3,0,0,'Données projet'!$E$11+1,1))</f>
        <v>455.85294519779609</v>
      </c>
      <c r="BJ25" s="62">
        <f t="shared" si="38"/>
        <v>294.45557293177131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15.8</v>
      </c>
      <c r="BY25" s="13">
        <f>IF('Données projet'!$A$114&gt;35,BY24+BX25-CG24,IF(A25&lt;'Données projet'!$A$114,$BV$205^A25,IF(A25='Données projet'!$A$114,'Données projet'!$B$114,BY24+BX25-CG24)))</f>
        <v>135.60000000000002</v>
      </c>
      <c r="BZ25" s="14">
        <f>BY25*VLOOKUP('Données projet'!$B$12,Paramètres!$A$1:$I$89,3,0)*VLOOKUP('Données projet'!$B$12,Paramètres!$A$1:$I$89,5,0)</f>
        <v>118.46016000000003</v>
      </c>
      <c r="CA25" s="14">
        <f t="shared" si="39"/>
        <v>31.315587396029674</v>
      </c>
      <c r="CB25" s="22">
        <f t="shared" si="10"/>
        <v>260.85942671475175</v>
      </c>
      <c r="CC25" s="62">
        <f t="shared" si="11"/>
        <v>544.41498227030729</v>
      </c>
      <c r="CD25" s="62">
        <f ca="1">AVERAGE(OFFSET($CC$3,0,0,'Données projet'!$E$12+1,1))-AVERAGE(OFFSET($H$3,0,0,'Données projet'!$E$12+1,1))</f>
        <v>304.32767345253382</v>
      </c>
      <c r="CE25" s="62">
        <f t="shared" si="40"/>
        <v>427.16091343339173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10.4</v>
      </c>
      <c r="CT25" s="13">
        <f>IF('Données projet'!$A$140&gt;35,CT24+CS25-DB24,IF(A25&lt;'Données projet'!$A$140,$CQ$205^A25,IF(A25='Données projet'!$A$140,'Données projet'!$B$140,CT24+CS25-DB24)))</f>
        <v>182.79999999999998</v>
      </c>
      <c r="CU25" s="18">
        <f>CT25*VLOOKUP('Données projet'!$B$13,Paramètres!$A$1:$I$89,3,0)*VLOOKUP('Données projet'!$B$13,Paramètres!$A$1:$I$89,5,0)</f>
        <v>165.39743999999999</v>
      </c>
      <c r="CV25" s="14">
        <f t="shared" si="41"/>
        <v>42.057562385840804</v>
      </c>
      <c r="CW25" s="22">
        <f t="shared" si="13"/>
        <v>361.31746248867267</v>
      </c>
      <c r="CX25" s="62">
        <f t="shared" si="14"/>
        <v>644.87301804422827</v>
      </c>
      <c r="CY25" s="62">
        <f ca="1">AVERAGE(OFFSET($CX$3,0,0,'Données projet'!$E$13+1,1))-AVERAGE(OFFSET($H$3,0,0,'Données projet'!$E$13+1,1))</f>
        <v>350.06545824795847</v>
      </c>
      <c r="CZ25" s="62">
        <f t="shared" si="42"/>
        <v>513.80016421153414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7.2</v>
      </c>
      <c r="DO25" s="13">
        <f>IF('Données projet'!$A$166&gt;35,DO24+DN25-DW24,IF(A25&lt;'Données projet'!$A$166,$DL$205^A25,IF(A25='Données projet'!$A$166,'Données projet'!$B$166,DO24+DN25-DW24)))</f>
        <v>81.400000000000006</v>
      </c>
      <c r="DP25" s="18">
        <f>DO25*VLOOKUP('Données projet'!$B$14,Paramètres!$A$1:$I$89,3,0)*VLOOKUP('Données projet'!$B$14,Paramètres!$A$1:$I$89,5,0)</f>
        <v>64.761840000000007</v>
      </c>
      <c r="DQ25" s="14">
        <f t="shared" si="43"/>
        <v>18.366808240092482</v>
      </c>
      <c r="DR25" s="22">
        <f t="shared" si="16"/>
        <v>144.78239568482772</v>
      </c>
      <c r="DS25" s="62">
        <f t="shared" si="17"/>
        <v>428.33795124038329</v>
      </c>
      <c r="DT25" s="62">
        <f ca="1">AVERAGE(OFFSET($DS$3,0,0,'Données projet'!$E$14+1,1))-AVERAGE(OFFSET($H$3,0,0,'Données projet'!$E$14+1,1))</f>
        <v>382.14353215900121</v>
      </c>
      <c r="DU25" s="62">
        <f t="shared" si="44"/>
        <v>249.73945975250177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7.2</v>
      </c>
      <c r="N26" s="14">
        <f>IF('Données projet'!$A$36&gt;35,N25+M26-V25,IF(A26&lt;'Données projet'!$A$36,$K$205^A26,IF(A26='Données projet'!$A$36,'Données projet'!$B$36,N25+M26-V25)))</f>
        <v>88.600000000000009</v>
      </c>
      <c r="O26" s="14">
        <f>N26*VLOOKUP('Données projet'!$B$9,Paramètres!$A$1:$I$89,3,0)*VLOOKUP('Données projet'!$B$9,Paramètres!$A$1:$I$89,5,0)</f>
        <v>80.165279999999996</v>
      </c>
      <c r="P26" s="14">
        <f t="shared" si="33"/>
        <v>22.177591092468788</v>
      </c>
      <c r="Q26" s="22">
        <f t="shared" si="2"/>
        <v>178.24716715271646</v>
      </c>
      <c r="R26" s="62">
        <f t="shared" si="0"/>
        <v>463.02494493049426</v>
      </c>
      <c r="S26" s="62">
        <f ca="1">AVERAGE(OFFSET($R$3,0,0,'Données projet'!$E$9+1,1))-AVERAGE(OFFSET($H$3,0,0,'Données projet'!$E$9+1,1))</f>
        <v>429.08375622925655</v>
      </c>
      <c r="T26" s="62">
        <f t="shared" si="34"/>
        <v>278.21741231699929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7.2</v>
      </c>
      <c r="AI26" s="14">
        <f>IF('Données projet'!$A$62&gt;35,AI25+AH26-AQ25,IF(A26&lt;'Données projet'!$A$62,$AF$205^A26,IF(A26='Données projet'!$A$62,'Données projet'!$B$62,AI25+AH26-AQ25)))</f>
        <v>88.600000000000009</v>
      </c>
      <c r="AJ26" s="14">
        <f>AI26*VLOOKUP('Données projet'!$B$10,Paramètres!$A$1:$I$89,3,0)*VLOOKUP('Données projet'!$B$10,Paramètres!$A$1:$I$89,5,0)</f>
        <v>84.311760000000007</v>
      </c>
      <c r="AK26" s="14">
        <f t="shared" si="35"/>
        <v>23.188189391515806</v>
      </c>
      <c r="AL26" s="22">
        <f t="shared" si="4"/>
        <v>187.22907852355672</v>
      </c>
      <c r="AM26" s="62">
        <f t="shared" si="5"/>
        <v>472.00685630133449</v>
      </c>
      <c r="AN26" s="62">
        <f ca="1">AVERAGE(OFFSET($AM$3,0,0,'Données projet'!$E$10+1,1))-AVERAGE(OFFSET($H$3,0,0,'Données projet'!$E$10+1,1))</f>
        <v>449.16408464351673</v>
      </c>
      <c r="AO26" s="62">
        <f t="shared" si="36"/>
        <v>290.39826583283588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7.2</v>
      </c>
      <c r="BD26" s="13">
        <f>IF('Données projet'!$A$88&gt;35,BD25+BC26-BL25,IF(A26&lt;'Données projet'!$A$88,$BA$205^A26,IF(A26='Données projet'!$A$88,'Données projet'!$B$88,BD25+BC26-BL25)))</f>
        <v>88.600000000000009</v>
      </c>
      <c r="BE26" s="14">
        <f>BD26*VLOOKUP('Données projet'!$B$11,Paramètres!$A$1:$I$89,3,0)*VLOOKUP('Données projet'!$B$11,Paramètres!$A$1:$I$89,5,0)</f>
        <v>85.693920000000006</v>
      </c>
      <c r="BF26" s="14">
        <f t="shared" si="37"/>
        <v>23.523757486236178</v>
      </c>
      <c r="BG26" s="22">
        <f t="shared" si="7"/>
        <v>190.22078828852798</v>
      </c>
      <c r="BH26" s="62">
        <f t="shared" si="8"/>
        <v>474.99856606630578</v>
      </c>
      <c r="BI26" s="62">
        <f ca="1">AVERAGE(OFFSET($BH$3,0,0,'Données projet'!$E$11+1,1))-AVERAGE(OFFSET($H$3,0,0,'Données projet'!$E$11+1,1))</f>
        <v>455.85294519779609</v>
      </c>
      <c r="BJ26" s="62">
        <f t="shared" si="38"/>
        <v>294.45557293177131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15.8</v>
      </c>
      <c r="BY26" s="13">
        <f>IF('Données projet'!$A$114&gt;35,BY25+BX26-CG25,IF(A26&lt;'Données projet'!$A$114,$BV$205^A26,IF(A26='Données projet'!$A$114,'Données projet'!$B$114,BY25+BX26-CG25)))</f>
        <v>151.40000000000003</v>
      </c>
      <c r="BZ26" s="14">
        <f>BY26*VLOOKUP('Données projet'!$B$12,Paramètres!$A$1:$I$89,3,0)*VLOOKUP('Données projet'!$B$12,Paramètres!$A$1:$I$89,5,0)</f>
        <v>132.26304000000005</v>
      </c>
      <c r="CA26" s="14">
        <f t="shared" si="39"/>
        <v>34.518755036434833</v>
      </c>
      <c r="CB26" s="22">
        <f t="shared" si="10"/>
        <v>290.47829302179076</v>
      </c>
      <c r="CC26" s="62">
        <f t="shared" si="11"/>
        <v>575.25607079956853</v>
      </c>
      <c r="CD26" s="62">
        <f ca="1">AVERAGE(OFFSET($CC$3,0,0,'Données projet'!$E$12+1,1))-AVERAGE(OFFSET($H$3,0,0,'Données projet'!$E$12+1,1))</f>
        <v>304.32767345253382</v>
      </c>
      <c r="CE26" s="62">
        <f t="shared" si="40"/>
        <v>427.16091343339173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10.4</v>
      </c>
      <c r="CT26" s="13">
        <f>IF('Données projet'!$A$140&gt;35,CT25+CS26-DB25,IF(A26&lt;'Données projet'!$A$140,$CQ$205^A26,IF(A26='Données projet'!$A$140,'Données projet'!$B$140,CT25+CS26-DB25)))</f>
        <v>193.2</v>
      </c>
      <c r="CU26" s="18">
        <f>CT26*VLOOKUP('Données projet'!$B$13,Paramètres!$A$1:$I$89,3,0)*VLOOKUP('Données projet'!$B$13,Paramètres!$A$1:$I$89,5,0)</f>
        <v>174.80735999999999</v>
      </c>
      <c r="CV26" s="14">
        <f t="shared" si="41"/>
        <v>44.164958649772579</v>
      </c>
      <c r="CW26" s="22">
        <f t="shared" si="13"/>
        <v>381.37678831502052</v>
      </c>
      <c r="CX26" s="62">
        <f t="shared" si="14"/>
        <v>666.15456609279829</v>
      </c>
      <c r="CY26" s="62">
        <f ca="1">AVERAGE(OFFSET($CX$3,0,0,'Données projet'!$E$13+1,1))-AVERAGE(OFFSET($H$3,0,0,'Données projet'!$E$13+1,1))</f>
        <v>350.06545824795847</v>
      </c>
      <c r="CZ26" s="62">
        <f t="shared" si="42"/>
        <v>513.80016421153414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7.2</v>
      </c>
      <c r="DO26" s="13">
        <f>IF('Données projet'!$A$166&gt;35,DO25+DN26-DW25,IF(A26&lt;'Données projet'!$A$166,$DL$205^A26,IF(A26='Données projet'!$A$166,'Données projet'!$B$166,DO25+DN26-DW25)))</f>
        <v>88.600000000000009</v>
      </c>
      <c r="DP26" s="18">
        <f>DO26*VLOOKUP('Données projet'!$B$14,Paramètres!$A$1:$I$89,3,0)*VLOOKUP('Données projet'!$B$14,Paramètres!$A$1:$I$89,5,0)</f>
        <v>70.490160000000017</v>
      </c>
      <c r="DQ26" s="14">
        <f t="shared" si="43"/>
        <v>19.795132097024002</v>
      </c>
      <c r="DR26" s="22">
        <f t="shared" si="16"/>
        <v>157.24688373565013</v>
      </c>
      <c r="DS26" s="62">
        <f t="shared" si="17"/>
        <v>442.02466151342787</v>
      </c>
      <c r="DT26" s="62">
        <f ca="1">AVERAGE(OFFSET($DS$3,0,0,'Données projet'!$E$14+1,1))-AVERAGE(OFFSET($H$3,0,0,'Données projet'!$E$14+1,1))</f>
        <v>382.14353215900121</v>
      </c>
      <c r="DU26" s="62">
        <f t="shared" si="44"/>
        <v>249.73945975250177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7.2</v>
      </c>
      <c r="N27" s="14">
        <f>IF('Données projet'!$A$36&gt;35,N26+M27-V26,IF(A27&lt;'Données projet'!$A$36,$K$205^A27,IF(A27='Données projet'!$A$36,'Données projet'!$B$36,N26+M27-V26)))</f>
        <v>95.800000000000011</v>
      </c>
      <c r="O27" s="14">
        <f>N27*VLOOKUP('Données projet'!$B$9,Paramètres!$A$1:$I$89,3,0)*VLOOKUP('Données projet'!$B$9,Paramètres!$A$1:$I$89,5,0)</f>
        <v>86.679839999999999</v>
      </c>
      <c r="P27" s="14">
        <f t="shared" si="33"/>
        <v>23.762739053789723</v>
      </c>
      <c r="Q27" s="22">
        <f t="shared" si="2"/>
        <v>192.35415851868379</v>
      </c>
      <c r="R27" s="62">
        <f t="shared" si="0"/>
        <v>478.35415851868379</v>
      </c>
      <c r="S27" s="62">
        <f ca="1">AVERAGE(OFFSET($R$3,0,0,'Données projet'!$E$9+1,1))-AVERAGE(OFFSET($H$3,0,0,'Données projet'!$E$9+1,1))</f>
        <v>429.08375622925655</v>
      </c>
      <c r="T27" s="62">
        <f t="shared" si="34"/>
        <v>278.21741231699929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7.2</v>
      </c>
      <c r="AI27" s="14">
        <f>IF('Données projet'!$A$62&gt;35,AI26+AH27-AQ26,IF(A27&lt;'Données projet'!$A$62,$AF$205^A27,IF(A27='Données projet'!$A$62,'Données projet'!$B$62,AI26+AH27-AQ26)))</f>
        <v>95.800000000000011</v>
      </c>
      <c r="AJ27" s="14">
        <f>AI27*VLOOKUP('Données projet'!$B$10,Paramètres!$A$1:$I$89,3,0)*VLOOKUP('Données projet'!$B$10,Paramètres!$A$1:$I$89,5,0)</f>
        <v>91.16328</v>
      </c>
      <c r="AK27" s="14">
        <f t="shared" si="35"/>
        <v>24.84557007760694</v>
      </c>
      <c r="AL27" s="22">
        <f t="shared" si="4"/>
        <v>202.04874721849876</v>
      </c>
      <c r="AM27" s="62">
        <f t="shared" si="5"/>
        <v>488.04874721849876</v>
      </c>
      <c r="AN27" s="62">
        <f ca="1">AVERAGE(OFFSET($AM$3,0,0,'Données projet'!$E$10+1,1))-AVERAGE(OFFSET($H$3,0,0,'Données projet'!$E$10+1,1))</f>
        <v>449.16408464351673</v>
      </c>
      <c r="AO27" s="62">
        <f t="shared" si="36"/>
        <v>290.39826583283588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7.2</v>
      </c>
      <c r="BD27" s="13">
        <f>IF('Données projet'!$A$88&gt;35,BD26+BC27-BL26,IF(A27&lt;'Données projet'!$A$88,$BA$205^A27,IF(A27='Données projet'!$A$88,'Données projet'!$B$88,BD26+BC27-BL26)))</f>
        <v>95.800000000000011</v>
      </c>
      <c r="BE27" s="14">
        <f>BD27*VLOOKUP('Données projet'!$B$11,Paramètres!$A$1:$I$89,3,0)*VLOOKUP('Données projet'!$B$11,Paramètres!$A$1:$I$89,5,0)</f>
        <v>92.65776000000001</v>
      </c>
      <c r="BF27" s="14">
        <f t="shared" si="37"/>
        <v>25.205122972074609</v>
      </c>
      <c r="BG27" s="22">
        <f t="shared" si="7"/>
        <v>205.2778545096966</v>
      </c>
      <c r="BH27" s="62">
        <f t="shared" si="8"/>
        <v>491.27785450969657</v>
      </c>
      <c r="BI27" s="62">
        <f ca="1">AVERAGE(OFFSET($BH$3,0,0,'Données projet'!$E$11+1,1))-AVERAGE(OFFSET($H$3,0,0,'Données projet'!$E$11+1,1))</f>
        <v>455.85294519779609</v>
      </c>
      <c r="BJ27" s="62">
        <f t="shared" si="38"/>
        <v>294.45557293177131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15.8</v>
      </c>
      <c r="BY27" s="13">
        <f>IF('Données projet'!$A$114&gt;35,BY26+BX27-CG26,IF(A27&lt;'Données projet'!$A$114,$BV$205^A27,IF(A27='Données projet'!$A$114,'Données projet'!$B$114,BY26+BX27-CG26)))</f>
        <v>167.20000000000005</v>
      </c>
      <c r="BZ27" s="14">
        <f>BY27*VLOOKUP('Données projet'!$B$12,Paramètres!$A$1:$I$89,3,0)*VLOOKUP('Données projet'!$B$12,Paramètres!$A$1:$I$89,5,0)</f>
        <v>146.06592000000006</v>
      </c>
      <c r="CA27" s="14">
        <f t="shared" si="39"/>
        <v>37.683173643014399</v>
      </c>
      <c r="CB27" s="22">
        <f t="shared" si="10"/>
        <v>320.0296714282502</v>
      </c>
      <c r="CC27" s="62">
        <f t="shared" si="11"/>
        <v>606.02967142825014</v>
      </c>
      <c r="CD27" s="62">
        <f ca="1">AVERAGE(OFFSET($CC$3,0,0,'Données projet'!$E$12+1,1))-AVERAGE(OFFSET($H$3,0,0,'Données projet'!$E$12+1,1))</f>
        <v>304.32767345253382</v>
      </c>
      <c r="CE27" s="62">
        <f t="shared" si="40"/>
        <v>427.16091343339173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10.4</v>
      </c>
      <c r="CT27" s="13">
        <f>IF('Données projet'!$A$140&gt;35,CT26+CS27-DB26,IF(A27&lt;'Données projet'!$A$140,$CQ$205^A27,IF(A27='Données projet'!$A$140,'Données projet'!$B$140,CT26+CS27-DB26)))</f>
        <v>203.6</v>
      </c>
      <c r="CU27" s="18">
        <f>CT27*VLOOKUP('Données projet'!$B$13,Paramètres!$A$1:$I$89,3,0)*VLOOKUP('Données projet'!$B$13,Paramètres!$A$1:$I$89,5,0)</f>
        <v>184.21727999999999</v>
      </c>
      <c r="CV27" s="14">
        <f t="shared" si="41"/>
        <v>46.25918487744358</v>
      </c>
      <c r="CW27" s="22">
        <f t="shared" si="13"/>
        <v>401.41317632821421</v>
      </c>
      <c r="CX27" s="62">
        <f t="shared" si="14"/>
        <v>687.41317632821415</v>
      </c>
      <c r="CY27" s="62">
        <f ca="1">AVERAGE(OFFSET($CX$3,0,0,'Données projet'!$E$13+1,1))-AVERAGE(OFFSET($H$3,0,0,'Données projet'!$E$13+1,1))</f>
        <v>350.06545824795847</v>
      </c>
      <c r="CZ27" s="62">
        <f t="shared" si="42"/>
        <v>513.80016421153414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7.2</v>
      </c>
      <c r="DO27" s="13">
        <f>IF('Données projet'!$A$166&gt;35,DO26+DN27-DW26,IF(A27&lt;'Données projet'!$A$166,$DL$205^A27,IF(A27='Données projet'!$A$166,'Données projet'!$B$166,DO26+DN27-DW26)))</f>
        <v>95.800000000000011</v>
      </c>
      <c r="DP27" s="18">
        <f>DO27*VLOOKUP('Données projet'!$B$14,Paramètres!$A$1:$I$89,3,0)*VLOOKUP('Données projet'!$B$14,Paramètres!$A$1:$I$89,5,0)</f>
        <v>76.218480000000014</v>
      </c>
      <c r="DQ27" s="14">
        <f t="shared" si="43"/>
        <v>21.209993303403238</v>
      </c>
      <c r="DR27" s="22">
        <f t="shared" si="16"/>
        <v>169.68792433676063</v>
      </c>
      <c r="DS27" s="62">
        <f t="shared" si="17"/>
        <v>455.6879243367606</v>
      </c>
      <c r="DT27" s="62">
        <f ca="1">AVERAGE(OFFSET($DS$3,0,0,'Données projet'!$E$14+1,1))-AVERAGE(OFFSET($H$3,0,0,'Données projet'!$E$14+1,1))</f>
        <v>382.14353215900121</v>
      </c>
      <c r="DU27" s="62">
        <f t="shared" si="44"/>
        <v>249.73945975250177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103</v>
      </c>
      <c r="L28" s="13">
        <f>VLOOKUP(A28,'Données projet'!$A$35:$I$55,9,0)</f>
        <v>7.2</v>
      </c>
      <c r="M28" s="13">
        <f t="array" ref="M28">INDEX(L:L,MIN(IF(ISNUMBER(L28:L224),ROW(L28:L224),"")))</f>
        <v>7.2</v>
      </c>
      <c r="N28" s="14">
        <f>IF('Données projet'!$A$36&gt;35,N27+M28-V27,IF(A28&lt;'Données projet'!$A$36,$K$205^A28,IF(A28='Données projet'!$A$36,'Données projet'!$B$36,N27+M28-V27)))</f>
        <v>103.00000000000001</v>
      </c>
      <c r="O28" s="14">
        <f>N28*VLOOKUP('Données projet'!$B$9,Paramètres!$A$1:$I$89,3,0)*VLOOKUP('Données projet'!$B$9,Paramètres!$A$1:$I$89,5,0)</f>
        <v>93.194400000000002</v>
      </c>
      <c r="P28" s="14">
        <f t="shared" si="33"/>
        <v>25.33406653691528</v>
      </c>
      <c r="Q28" s="22">
        <f t="shared" si="2"/>
        <v>206.43707921846078</v>
      </c>
      <c r="R28" s="62">
        <f t="shared" si="0"/>
        <v>493.65930144068301</v>
      </c>
      <c r="S28" s="62">
        <f ca="1">AVERAGE(OFFSET($R$3,0,0,'Données projet'!$E$9+1,1))-AVERAGE(OFFSET($H$3,0,0,'Données projet'!$E$9+1,1))</f>
        <v>429.08375622925655</v>
      </c>
      <c r="T28" s="62">
        <f t="shared" si="34"/>
        <v>278.21741231699929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28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0.5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11.951844132689374</v>
      </c>
      <c r="AC28" s="24">
        <f t="shared" si="3"/>
        <v>11.951844132689374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103</v>
      </c>
      <c r="AG28" s="13">
        <f>VLOOKUP(A28,'Données projet'!$A$61:$I$81,9,0)</f>
        <v>7.2</v>
      </c>
      <c r="AH28" s="13">
        <f t="array" ref="AH28">INDEX(AG:AG,MIN(IF(ISNUMBER(AG28:AG224),ROW(AG28:AG224),"")))</f>
        <v>7.2</v>
      </c>
      <c r="AI28" s="14">
        <f>IF('Données projet'!$A$62&gt;35,AI27+AH28-AQ27,IF(A28&lt;'Données projet'!$A$62,$AF$205^A28,IF(A28='Données projet'!$A$62,'Données projet'!$B$62,AI27+AH28-AQ27)))</f>
        <v>103.00000000000001</v>
      </c>
      <c r="AJ28" s="14">
        <f>AI28*VLOOKUP('Données projet'!$B$10,Paramètres!$A$1:$I$89,3,0)*VLOOKUP('Données projet'!$B$10,Paramètres!$A$1:$I$89,5,0)</f>
        <v>98.014800000000008</v>
      </c>
      <c r="AK28" s="14">
        <f t="shared" si="35"/>
        <v>26.488500507827684</v>
      </c>
      <c r="AL28" s="22">
        <f t="shared" si="4"/>
        <v>216.84324838446653</v>
      </c>
      <c r="AM28" s="62">
        <f t="shared" si="5"/>
        <v>504.06547060668879</v>
      </c>
      <c r="AN28" s="62">
        <f ca="1">AVERAGE(OFFSET($AM$3,0,0,'Données projet'!$E$10+1,1))-AVERAGE(OFFSET($H$3,0,0,'Données projet'!$E$10+1,1))</f>
        <v>449.16408464351673</v>
      </c>
      <c r="AO28" s="62">
        <f t="shared" si="36"/>
        <v>290.39826583283588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28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0.5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12.570042967138825</v>
      </c>
      <c r="AX28" s="23">
        <f t="shared" si="6"/>
        <v>12.570042967138825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103</v>
      </c>
      <c r="BB28" s="13">
        <f>VLOOKUP(A28,'Données projet'!$A$87:$I$107,9,0)</f>
        <v>7.2</v>
      </c>
      <c r="BC28" s="13">
        <f t="array" ref="BC28">INDEX(BB:BB,MIN(IF(ISNUMBER(BB28:BB224),ROW(BB28:BB224),"")))</f>
        <v>7.2</v>
      </c>
      <c r="BD28" s="13">
        <f>IF('Données projet'!$A$88&gt;35,BD27+BC28-BL27,IF(A28&lt;'Données projet'!$A$88,$BA$205^A28,IF(A28='Données projet'!$A$88,'Données projet'!$B$88,BD27+BC28-BL27)))</f>
        <v>103.00000000000001</v>
      </c>
      <c r="BE28" s="14">
        <f>BD28*VLOOKUP('Données projet'!$B$11,Paramètres!$A$1:$I$89,3,0)*VLOOKUP('Données projet'!$B$11,Paramètres!$A$1:$I$89,5,0)</f>
        <v>99.621600000000015</v>
      </c>
      <c r="BF28" s="14">
        <f t="shared" si="37"/>
        <v>26.871829085032747</v>
      </c>
      <c r="BG28" s="22">
        <f t="shared" si="7"/>
        <v>220.30938898976538</v>
      </c>
      <c r="BH28" s="62">
        <f t="shared" si="8"/>
        <v>507.53161121198764</v>
      </c>
      <c r="BI28" s="62">
        <f ca="1">AVERAGE(OFFSET($BH$3,0,0,'Données projet'!$E$11+1,1))-AVERAGE(OFFSET($H$3,0,0,'Données projet'!$E$11+1,1))</f>
        <v>455.85294519779609</v>
      </c>
      <c r="BJ28" s="62">
        <f t="shared" si="38"/>
        <v>294.45557293177131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28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0.5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12.776109245288643</v>
      </c>
      <c r="BS28" s="24">
        <f t="shared" si="9"/>
        <v>12.776109245288643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183</v>
      </c>
      <c r="BW28" s="13">
        <f>VLOOKUP(A28,'Données projet'!$A$113:$I$133,9,0)</f>
        <v>15.8</v>
      </c>
      <c r="BX28" s="13">
        <f t="array" ref="BX28">INDEX(BW:BW,MIN(IF(ISNUMBER(BW28:BW224),ROW(BW28:BW224),"")))</f>
        <v>15.8</v>
      </c>
      <c r="BY28" s="13">
        <f>IF('Données projet'!$A$114&gt;35,BY27+BX28-CG27,IF(A28&lt;'Données projet'!$A$114,$BV$205^A28,IF(A28='Données projet'!$A$114,'Données projet'!$B$114,BY27+BX28-CG27)))</f>
        <v>183.00000000000006</v>
      </c>
      <c r="BZ28" s="14">
        <f>BY28*VLOOKUP('Données projet'!$B$12,Paramètres!$A$1:$I$89,3,0)*VLOOKUP('Données projet'!$B$12,Paramètres!$A$1:$I$89,5,0)</f>
        <v>159.86880000000008</v>
      </c>
      <c r="CA28" s="14">
        <f t="shared" si="39"/>
        <v>40.812921467768035</v>
      </c>
      <c r="CB28" s="22">
        <f t="shared" si="10"/>
        <v>349.52066488969609</v>
      </c>
      <c r="CC28" s="62">
        <f t="shared" si="11"/>
        <v>636.74288711191832</v>
      </c>
      <c r="CD28" s="62">
        <f ca="1">AVERAGE(OFFSET($CC$3,0,0,'Données projet'!$E$12+1,1))-AVERAGE(OFFSET($H$3,0,0,'Données projet'!$E$12+1,1))</f>
        <v>304.32767345253382</v>
      </c>
      <c r="CE28" s="62">
        <f t="shared" si="40"/>
        <v>427.16091343339173</v>
      </c>
      <c r="CF28" s="16">
        <f>IF(ISNA(VLOOKUP(A28,'Données projet'!$A$113:$I$133,3,0)),0,VLOOKUP(A28,'Données projet'!$A$113:$I$133,3,0))</f>
        <v>3</v>
      </c>
      <c r="CG28" s="16">
        <f>IF(ISNA(VLOOKUP(A28,'Données projet'!$A$113:$I$133,4,0)),0,VLOOKUP(A28,'Données projet'!$A$113:$I$133,4,0))</f>
        <v>52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214</v>
      </c>
      <c r="CR28" s="13">
        <f>VLOOKUP(A28,'Données projet'!$A$139:$I$159,9,0)</f>
        <v>10.4</v>
      </c>
      <c r="CS28" s="13">
        <f t="array" ref="CS28">INDEX(CR:CR,MIN(IF(ISNUMBER(CR28:CR224),ROW(CR28:CR224),"")))</f>
        <v>10.4</v>
      </c>
      <c r="CT28" s="13">
        <f>IF('Données projet'!$A$140&gt;35,CT27+CS28-DB27,IF(A28&lt;'Données projet'!$A$140,$CQ$205^A28,IF(A28='Données projet'!$A$140,'Données projet'!$B$140,CT27+CS28-DB27)))</f>
        <v>214</v>
      </c>
      <c r="CU28" s="18">
        <f>CT28*VLOOKUP('Données projet'!$B$13,Paramètres!$A$1:$I$89,3,0)*VLOOKUP('Données projet'!$B$13,Paramètres!$A$1:$I$89,5,0)</f>
        <v>193.62719999999999</v>
      </c>
      <c r="CV28" s="14">
        <f t="shared" si="41"/>
        <v>48.340990547231193</v>
      </c>
      <c r="CW28" s="22">
        <f t="shared" si="13"/>
        <v>421.42793186976093</v>
      </c>
      <c r="CX28" s="62">
        <f t="shared" si="14"/>
        <v>708.65015409198315</v>
      </c>
      <c r="CY28" s="62">
        <f ca="1">AVERAGE(OFFSET($CX$3,0,0,'Données projet'!$E$13+1,1))-AVERAGE(OFFSET($H$3,0,0,'Données projet'!$E$13+1,1))</f>
        <v>350.06545824795847</v>
      </c>
      <c r="CZ28" s="62">
        <f t="shared" si="42"/>
        <v>513.80016421153414</v>
      </c>
      <c r="DA28" s="16">
        <f>IF(ISNA(VLOOKUP(A28,'Données projet'!$A$139:$I$159,3,0)),0,VLOOKUP(A28,'Données projet'!$A$139:$I$159,3,0))</f>
        <v>3</v>
      </c>
      <c r="DB28" s="16">
        <f>IF(ISNA(VLOOKUP(A28,'Données projet'!$A$139:$I$159,4,0)),0,VLOOKUP(A28,'Données projet'!$A$139:$I$159,4,0))</f>
        <v>14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103</v>
      </c>
      <c r="DM28" s="13">
        <f>VLOOKUP(A28,'Données projet'!$A$165:$I$185,9,0)</f>
        <v>7.2</v>
      </c>
      <c r="DN28" s="13">
        <f t="array" ref="DN28">INDEX(DM:DM,MIN(IF(ISNUMBER(DM28:DM224),ROW(DM28:DM224),"")))</f>
        <v>7.2</v>
      </c>
      <c r="DO28" s="13">
        <f>IF('Données projet'!$A$166&gt;35,DO27+DN28-DW27,IF(A28&lt;'Données projet'!$A$166,$DL$205^A28,IF(A28='Données projet'!$A$166,'Données projet'!$B$166,DO27+DN28-DW27)))</f>
        <v>103.00000000000001</v>
      </c>
      <c r="DP28" s="18">
        <f>DO28*VLOOKUP('Données projet'!$B$14,Paramètres!$A$1:$I$89,3,0)*VLOOKUP('Données projet'!$B$14,Paramètres!$A$1:$I$89,5,0)</f>
        <v>81.94680000000001</v>
      </c>
      <c r="DQ28" s="14">
        <f t="shared" si="43"/>
        <v>22.612518715945338</v>
      </c>
      <c r="DR28" s="22">
        <f t="shared" si="16"/>
        <v>182.10748009693816</v>
      </c>
      <c r="DS28" s="62">
        <f t="shared" si="17"/>
        <v>469.32970231916039</v>
      </c>
      <c r="DT28" s="62">
        <f ca="1">AVERAGE(OFFSET($DS$3,0,0,'Données projet'!$E$14+1,1))-AVERAGE(OFFSET($H$3,0,0,'Données projet'!$E$14+1,1))</f>
        <v>382.14353215900121</v>
      </c>
      <c r="DU28" s="62">
        <f t="shared" si="44"/>
        <v>249.73945975250177</v>
      </c>
      <c r="DV28" s="16">
        <f>IF(ISNA(VLOOKUP(A28,'Données projet'!$A$165:$I$185,3,0)),0,VLOOKUP(A28,'Données projet'!$A$165:$I$185,3,0))</f>
        <v>2</v>
      </c>
      <c r="DW28" s="16">
        <f>IF(ISNA(VLOOKUP(A28,'Données projet'!$A$165:$I$185,4,0)),0,VLOOKUP(A28,'Données projet'!$A$165:$I$185,4,0))</f>
        <v>28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0.5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10.509380185640657</v>
      </c>
      <c r="ED28" s="24">
        <f t="shared" si="18"/>
        <v>10.509380185640657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84.200000000000017</v>
      </c>
      <c r="O29" s="14">
        <f>N29*VLOOKUP('Données projet'!$B$9,Paramètres!$A$1:$I$89,3,0)*VLOOKUP('Données projet'!$B$9,Paramètres!$A$1:$I$89,5,0)</f>
        <v>76.184160000000006</v>
      </c>
      <c r="P29" s="14">
        <f t="shared" si="33"/>
        <v>21.201554232857223</v>
      </c>
      <c r="Q29" s="22">
        <f t="shared" si="2"/>
        <v>169.613452288893</v>
      </c>
      <c r="R29" s="62">
        <f t="shared" si="0"/>
        <v>458.05789673333743</v>
      </c>
      <c r="S29" s="62">
        <f ca="1">AVERAGE(OFFSET($R$3,0,0,'Données projet'!$E$9+1,1))-AVERAGE(OFFSET($H$3,0,0,'Données projet'!$E$9+1,1))</f>
        <v>429.08375622925655</v>
      </c>
      <c r="T29" s="62">
        <f t="shared" si="34"/>
        <v>278.21741231699929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8.451230033909308</v>
      </c>
      <c r="AC29" s="24">
        <f t="shared" si="3"/>
        <v>8.451230033909308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9.1999999999999993</v>
      </c>
      <c r="AI29" s="14">
        <f>IF('Données projet'!$A$62&gt;35,AI28+AH29-AQ28,IF(A29&lt;'Données projet'!$A$62,$AF$205^A29,IF(A29='Données projet'!$A$62,'Données projet'!$B$62,AI28+AH29-AQ28)))</f>
        <v>84.200000000000017</v>
      </c>
      <c r="AJ29" s="14">
        <f>AI29*VLOOKUP('Données projet'!$B$10,Paramètres!$A$1:$I$89,3,0)*VLOOKUP('Données projet'!$B$10,Paramètres!$A$1:$I$89,5,0)</f>
        <v>80.124720000000011</v>
      </c>
      <c r="AK29" s="14">
        <f t="shared" si="35"/>
        <v>22.167676051748288</v>
      </c>
      <c r="AL29" s="22">
        <f t="shared" si="4"/>
        <v>178.15925645679496</v>
      </c>
      <c r="AM29" s="62">
        <f t="shared" si="5"/>
        <v>466.60370090123945</v>
      </c>
      <c r="AN29" s="62">
        <f ca="1">AVERAGE(OFFSET($AM$3,0,0,'Données projet'!$E$10+1,1))-AVERAGE(OFFSET($H$3,0,0,'Données projet'!$E$10+1,1))</f>
        <v>449.16408464351673</v>
      </c>
      <c r="AO29" s="62">
        <f t="shared" si="36"/>
        <v>290.39826583283588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8.8883626218701348</v>
      </c>
      <c r="AX29" s="23">
        <f t="shared" si="6"/>
        <v>8.8883626218701348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9.1999999999999993</v>
      </c>
      <c r="BD29" s="13">
        <f>IF('Données projet'!$A$88&gt;35,BD28+BC29-BL28,IF(A29&lt;'Données projet'!$A$88,$BA$205^A29,IF(A29='Données projet'!$A$88,'Données projet'!$B$88,BD28+BC29-BL28)))</f>
        <v>84.200000000000017</v>
      </c>
      <c r="BE29" s="14">
        <f>BD29*VLOOKUP('Données projet'!$B$11,Paramètres!$A$1:$I$89,3,0)*VLOOKUP('Données projet'!$B$11,Paramètres!$A$1:$I$89,5,0)</f>
        <v>81.438240000000022</v>
      </c>
      <c r="BF29" s="14">
        <f t="shared" si="37"/>
        <v>22.488475778344696</v>
      </c>
      <c r="BG29" s="22">
        <f t="shared" si="7"/>
        <v>181.00569664728371</v>
      </c>
      <c r="BH29" s="62">
        <f t="shared" si="8"/>
        <v>469.45014109172814</v>
      </c>
      <c r="BI29" s="62">
        <f ca="1">AVERAGE(OFFSET($BH$3,0,0,'Données projet'!$E$11+1,1))-AVERAGE(OFFSET($H$3,0,0,'Données projet'!$E$11+1,1))</f>
        <v>455.85294519779609</v>
      </c>
      <c r="BJ29" s="62">
        <f t="shared" si="38"/>
        <v>294.45557293177131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9.0340734845237431</v>
      </c>
      <c r="BS29" s="24">
        <f t="shared" si="9"/>
        <v>9.0340734845237431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14.8</v>
      </c>
      <c r="BY29" s="13">
        <f>IF('Données projet'!$A$114&gt;35,BY28+BX29-CG28,IF(A29&lt;'Données projet'!$A$114,$BV$205^A29,IF(A29='Données projet'!$A$114,'Données projet'!$B$114,BY28+BX29-CG28)))</f>
        <v>145.80000000000007</v>
      </c>
      <c r="BZ29" s="14">
        <f>BY29*VLOOKUP('Données projet'!$B$12,Paramètres!$A$1:$I$89,3,0)*VLOOKUP('Données projet'!$B$12,Paramètres!$A$1:$I$89,5,0)</f>
        <v>127.37088000000008</v>
      </c>
      <c r="CA29" s="14">
        <f t="shared" si="39"/>
        <v>33.388126388800522</v>
      </c>
      <c r="CB29" s="22">
        <f t="shared" si="10"/>
        <v>279.98860279382774</v>
      </c>
      <c r="CC29" s="62">
        <f t="shared" si="11"/>
        <v>568.43304723827214</v>
      </c>
      <c r="CD29" s="62">
        <f ca="1">AVERAGE(OFFSET($CC$3,0,0,'Données projet'!$E$12+1,1))-AVERAGE(OFFSET($H$3,0,0,'Données projet'!$E$12+1,1))</f>
        <v>304.32767345253382</v>
      </c>
      <c r="CE29" s="62">
        <f t="shared" si="40"/>
        <v>427.16091343339173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8.6</v>
      </c>
      <c r="CT29" s="13">
        <f>IF('Données projet'!$A$140&gt;35,CT28+CS29-DB28,IF(A29&lt;'Données projet'!$A$140,$CQ$205^A29,IF(A29='Données projet'!$A$140,'Données projet'!$B$140,CT28+CS29-DB28)))</f>
        <v>208.6</v>
      </c>
      <c r="CU29" s="18">
        <f>CT29*VLOOKUP('Données projet'!$B$13,Paramètres!$A$1:$I$89,3,0)*VLOOKUP('Données projet'!$B$13,Paramètres!$A$1:$I$89,5,0)</f>
        <v>188.74127999999999</v>
      </c>
      <c r="CV29" s="14">
        <f t="shared" si="41"/>
        <v>47.261560168122358</v>
      </c>
      <c r="CW29" s="22">
        <f t="shared" si="13"/>
        <v>411.03827995947972</v>
      </c>
      <c r="CX29" s="62">
        <f t="shared" si="14"/>
        <v>699.48272440392418</v>
      </c>
      <c r="CY29" s="62">
        <f ca="1">AVERAGE(OFFSET($CX$3,0,0,'Données projet'!$E$13+1,1))-AVERAGE(OFFSET($H$3,0,0,'Données projet'!$E$13+1,1))</f>
        <v>350.06545824795847</v>
      </c>
      <c r="CZ29" s="62">
        <f t="shared" si="42"/>
        <v>513.80016421153414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9.1999999999999993</v>
      </c>
      <c r="DO29" s="13">
        <f>IF('Données projet'!$A$166&gt;35,DO28+DN29-DW28,IF(A29&lt;'Données projet'!$A$166,$DL$205^A29,IF(A29='Données projet'!$A$166,'Données projet'!$B$166,DO28+DN29-DW28)))</f>
        <v>84.200000000000017</v>
      </c>
      <c r="DP29" s="18">
        <f>DO29*VLOOKUP('Données projet'!$B$14,Paramètres!$A$1:$I$89,3,0)*VLOOKUP('Données projet'!$B$14,Paramètres!$A$1:$I$89,5,0)</f>
        <v>66.989520000000013</v>
      </c>
      <c r="DQ29" s="14">
        <f t="shared" si="43"/>
        <v>18.923947373353229</v>
      </c>
      <c r="DR29" s="22">
        <f t="shared" si="16"/>
        <v>149.63262234192356</v>
      </c>
      <c r="DS29" s="62">
        <f t="shared" si="17"/>
        <v>438.07706678636805</v>
      </c>
      <c r="DT29" s="62">
        <f ca="1">AVERAGE(OFFSET($DS$3,0,0,'Données projet'!$E$14+1,1))-AVERAGE(OFFSET($H$3,0,0,'Données projet'!$E$14+1,1))</f>
        <v>382.14353215900121</v>
      </c>
      <c r="DU29" s="62">
        <f t="shared" si="44"/>
        <v>249.73945975250177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7.4312539953340462</v>
      </c>
      <c r="ED29" s="24">
        <f t="shared" si="18"/>
        <v>7.4312539953340462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93.40000000000002</v>
      </c>
      <c r="O30" s="14">
        <f>N30*VLOOKUP('Données projet'!$B$9,Paramètres!$A$1:$I$89,3,0)*VLOOKUP('Données projet'!$B$9,Paramètres!$A$1:$I$89,5,0)</f>
        <v>84.508320000000026</v>
      </c>
      <c r="P30" s="14">
        <f t="shared" si="33"/>
        <v>23.235950088324714</v>
      </c>
      <c r="Q30" s="22">
        <f t="shared" si="2"/>
        <v>187.65460373716556</v>
      </c>
      <c r="R30" s="62">
        <f t="shared" si="0"/>
        <v>477.32127040383227</v>
      </c>
      <c r="S30" s="62">
        <f ca="1">AVERAGE(OFFSET($R$3,0,0,'Données projet'!$E$9+1,1))-AVERAGE(OFFSET($H$3,0,0,'Données projet'!$E$9+1,1))</f>
        <v>429.08375622925655</v>
      </c>
      <c r="T30" s="62">
        <f t="shared" si="34"/>
        <v>278.21741231699929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5.9759220663446877</v>
      </c>
      <c r="AC30" s="24">
        <f t="shared" si="3"/>
        <v>5.9759220663446877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9.1999999999999993</v>
      </c>
      <c r="AI30" s="14">
        <f>IF('Données projet'!$A$62&gt;35,AI29+AH30-AQ29,IF(A30&lt;'Données projet'!$A$62,$AF$205^A30,IF(A30='Données projet'!$A$62,'Données projet'!$B$62,AI29+AH30-AQ29)))</f>
        <v>93.40000000000002</v>
      </c>
      <c r="AJ30" s="14">
        <f>AI30*VLOOKUP('Données projet'!$B$10,Paramètres!$A$1:$I$89,3,0)*VLOOKUP('Données projet'!$B$10,Paramètres!$A$1:$I$89,5,0)</f>
        <v>88.879440000000017</v>
      </c>
      <c r="AK30" s="14">
        <f t="shared" si="35"/>
        <v>24.294776159113649</v>
      </c>
      <c r="AL30" s="22">
        <f t="shared" si="4"/>
        <v>197.11175981045631</v>
      </c>
      <c r="AM30" s="62">
        <f t="shared" si="5"/>
        <v>486.77842647712299</v>
      </c>
      <c r="AN30" s="62">
        <f ca="1">AVERAGE(OFFSET($AM$3,0,0,'Données projet'!$E$10+1,1))-AVERAGE(OFFSET($H$3,0,0,'Données projet'!$E$10+1,1))</f>
        <v>449.16408464351673</v>
      </c>
      <c r="AO30" s="62">
        <f t="shared" si="36"/>
        <v>290.39826583283588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6.2850214835694134</v>
      </c>
      <c r="AX30" s="23">
        <f t="shared" si="6"/>
        <v>6.2850214835694134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9.1999999999999993</v>
      </c>
      <c r="BD30" s="13">
        <f>IF('Données projet'!$A$88&gt;35,BD29+BC30-BL29,IF(A30&lt;'Données projet'!$A$88,$BA$205^A30,IF(A30='Données projet'!$A$88,'Données projet'!$B$88,BD29+BC30-BL29)))</f>
        <v>93.40000000000002</v>
      </c>
      <c r="BE30" s="14">
        <f>BD30*VLOOKUP('Données projet'!$B$11,Paramètres!$A$1:$I$89,3,0)*VLOOKUP('Données projet'!$B$11,Paramètres!$A$1:$I$89,5,0)</f>
        <v>90.336480000000023</v>
      </c>
      <c r="BF30" s="14">
        <f t="shared" si="37"/>
        <v>24.646358234355564</v>
      </c>
      <c r="BG30" s="22">
        <f t="shared" si="7"/>
        <v>200.26177659150264</v>
      </c>
      <c r="BH30" s="62">
        <f t="shared" si="8"/>
        <v>489.9284432581693</v>
      </c>
      <c r="BI30" s="62">
        <f ca="1">AVERAGE(OFFSET($BH$3,0,0,'Données projet'!$E$11+1,1))-AVERAGE(OFFSET($H$3,0,0,'Données projet'!$E$11+1,1))</f>
        <v>455.85294519779609</v>
      </c>
      <c r="BJ30" s="62">
        <f t="shared" si="38"/>
        <v>294.45557293177131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6.3880546226443222</v>
      </c>
      <c r="BS30" s="24">
        <f t="shared" si="9"/>
        <v>6.3880546226443222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14.8</v>
      </c>
      <c r="BY30" s="13">
        <f>IF('Données projet'!$A$114&gt;35,BY29+BX30-CG29,IF(A30&lt;'Données projet'!$A$114,$BV$205^A30,IF(A30='Données projet'!$A$114,'Données projet'!$B$114,BY29+BX30-CG29)))</f>
        <v>160.60000000000008</v>
      </c>
      <c r="BZ30" s="14">
        <f>BY30*VLOOKUP('Données projet'!$B$12,Paramètres!$A$1:$I$89,3,0)*VLOOKUP('Données projet'!$B$12,Paramètres!$A$1:$I$89,5,0)</f>
        <v>140.30016000000009</v>
      </c>
      <c r="CA30" s="14">
        <f t="shared" si="39"/>
        <v>36.365759362628388</v>
      </c>
      <c r="CB30" s="22">
        <f t="shared" si="10"/>
        <v>307.69314288991126</v>
      </c>
      <c r="CC30" s="62">
        <f t="shared" si="11"/>
        <v>597.35980955657794</v>
      </c>
      <c r="CD30" s="62">
        <f ca="1">AVERAGE(OFFSET($CC$3,0,0,'Données projet'!$E$12+1,1))-AVERAGE(OFFSET($H$3,0,0,'Données projet'!$E$12+1,1))</f>
        <v>304.32767345253382</v>
      </c>
      <c r="CE30" s="62">
        <f t="shared" si="40"/>
        <v>427.16091343339173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8.6</v>
      </c>
      <c r="CT30" s="13">
        <f>IF('Données projet'!$A$140&gt;35,CT29+CS30-DB29,IF(A30&lt;'Données projet'!$A$140,$CQ$205^A30,IF(A30='Données projet'!$A$140,'Données projet'!$B$140,CT29+CS30-DB29)))</f>
        <v>217.2</v>
      </c>
      <c r="CU30" s="18">
        <f>CT30*VLOOKUP('Données projet'!$B$13,Paramètres!$A$1:$I$89,3,0)*VLOOKUP('Données projet'!$B$13,Paramètres!$A$1:$I$89,5,0)</f>
        <v>196.52255999999997</v>
      </c>
      <c r="CV30" s="14">
        <f t="shared" si="41"/>
        <v>48.979153257338155</v>
      </c>
      <c r="CW30" s="22">
        <f t="shared" si="13"/>
        <v>427.58215058986383</v>
      </c>
      <c r="CX30" s="62">
        <f t="shared" si="14"/>
        <v>717.24881725653051</v>
      </c>
      <c r="CY30" s="62">
        <f ca="1">AVERAGE(OFFSET($CX$3,0,0,'Données projet'!$E$13+1,1))-AVERAGE(OFFSET($H$3,0,0,'Données projet'!$E$13+1,1))</f>
        <v>350.06545824795847</v>
      </c>
      <c r="CZ30" s="62">
        <f t="shared" si="42"/>
        <v>513.80016421153414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9.1999999999999993</v>
      </c>
      <c r="DO30" s="13">
        <f>IF('Données projet'!$A$166&gt;35,DO29+DN30-DW29,IF(A30&lt;'Données projet'!$A$166,$DL$205^A30,IF(A30='Données projet'!$A$166,'Données projet'!$B$166,DO29+DN30-DW29)))</f>
        <v>93.40000000000002</v>
      </c>
      <c r="DP30" s="18">
        <f>DO30*VLOOKUP('Données projet'!$B$14,Paramètres!$A$1:$I$89,3,0)*VLOOKUP('Données projet'!$B$14,Paramètres!$A$1:$I$89,5,0)</f>
        <v>74.30904000000001</v>
      </c>
      <c r="DQ30" s="14">
        <f t="shared" si="43"/>
        <v>20.739795385371679</v>
      </c>
      <c r="DR30" s="22">
        <f t="shared" si="16"/>
        <v>165.54338829618902</v>
      </c>
      <c r="DS30" s="62">
        <f t="shared" si="17"/>
        <v>455.21005496285568</v>
      </c>
      <c r="DT30" s="62">
        <f ca="1">AVERAGE(OFFSET($DS$3,0,0,'Données projet'!$E$14+1,1))-AVERAGE(OFFSET($H$3,0,0,'Données projet'!$E$14+1,1))</f>
        <v>382.14353215900121</v>
      </c>
      <c r="DU30" s="62">
        <f t="shared" si="44"/>
        <v>249.73945975250177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5.2546900928203284</v>
      </c>
      <c r="ED30" s="24">
        <f t="shared" si="18"/>
        <v>5.2546900928203284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102.60000000000002</v>
      </c>
      <c r="O31" s="14">
        <f>N31*VLOOKUP('Données projet'!$B$9,Paramètres!$A$1:$I$89,3,0)*VLOOKUP('Données projet'!$B$9,Paramètres!$A$1:$I$89,5,0)</f>
        <v>92.832480000000018</v>
      </c>
      <c r="P31" s="14">
        <f t="shared" si="33"/>
        <v>25.247114117480137</v>
      </c>
      <c r="Q31" s="22">
        <f t="shared" si="2"/>
        <v>205.65529308794461</v>
      </c>
      <c r="R31" s="62">
        <f t="shared" si="0"/>
        <v>496.54418197683344</v>
      </c>
      <c r="S31" s="62">
        <f ca="1">AVERAGE(OFFSET($R$3,0,0,'Données projet'!$E$9+1,1))-AVERAGE(OFFSET($H$3,0,0,'Données projet'!$E$9+1,1))</f>
        <v>429.08375622925655</v>
      </c>
      <c r="T31" s="62">
        <f t="shared" si="34"/>
        <v>278.21741231699929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4.225615016954654</v>
      </c>
      <c r="AC31" s="24">
        <f t="shared" si="3"/>
        <v>4.225615016954654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9.1999999999999993</v>
      </c>
      <c r="AI31" s="14">
        <f>IF('Données projet'!$A$62&gt;35,AI30+AH31-AQ30,IF(A31&lt;'Données projet'!$A$62,$AF$205^A31,IF(A31='Données projet'!$A$62,'Données projet'!$B$62,AI30+AH31-AQ30)))</f>
        <v>102.60000000000002</v>
      </c>
      <c r="AJ31" s="14">
        <f>AI31*VLOOKUP('Données projet'!$B$10,Paramètres!$A$1:$I$89,3,0)*VLOOKUP('Données projet'!$B$10,Paramètres!$A$1:$I$89,5,0)</f>
        <v>97.634160000000023</v>
      </c>
      <c r="AK31" s="14">
        <f t="shared" si="35"/>
        <v>26.397585802010184</v>
      </c>
      <c r="AL31" s="22">
        <f t="shared" si="4"/>
        <v>216.02195727183445</v>
      </c>
      <c r="AM31" s="62">
        <f t="shared" si="5"/>
        <v>506.91084616072328</v>
      </c>
      <c r="AN31" s="62">
        <f ca="1">AVERAGE(OFFSET($AM$3,0,0,'Données projet'!$E$10+1,1))-AVERAGE(OFFSET($H$3,0,0,'Données projet'!$E$10+1,1))</f>
        <v>449.16408464351673</v>
      </c>
      <c r="AO31" s="62">
        <f t="shared" si="36"/>
        <v>290.39826583283588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4.4441813109350674</v>
      </c>
      <c r="AX31" s="23">
        <f t="shared" si="6"/>
        <v>4.4441813109350674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9.1999999999999993</v>
      </c>
      <c r="BD31" s="13">
        <f>IF('Données projet'!$A$88&gt;35,BD30+BC31-BL30,IF(A31&lt;'Données projet'!$A$88,$BA$205^A31,IF(A31='Données projet'!$A$88,'Données projet'!$B$88,BD30+BC31-BL30)))</f>
        <v>102.60000000000002</v>
      </c>
      <c r="BE31" s="14">
        <f>BD31*VLOOKUP('Données projet'!$B$11,Paramètres!$A$1:$I$89,3,0)*VLOOKUP('Données projet'!$B$11,Paramètres!$A$1:$I$89,5,0)</f>
        <v>99.234720000000024</v>
      </c>
      <c r="BF31" s="14">
        <f t="shared" si="37"/>
        <v>26.779598706219044</v>
      </c>
      <c r="BG31" s="22">
        <f t="shared" si="7"/>
        <v>219.47493841333153</v>
      </c>
      <c r="BH31" s="62">
        <f t="shared" si="8"/>
        <v>510.36382730222039</v>
      </c>
      <c r="BI31" s="62">
        <f ca="1">AVERAGE(OFFSET($BH$3,0,0,'Données projet'!$E$11+1,1))-AVERAGE(OFFSET($H$3,0,0,'Données projet'!$E$11+1,1))</f>
        <v>455.85294519779609</v>
      </c>
      <c r="BJ31" s="62">
        <f t="shared" si="38"/>
        <v>294.45557293177131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4.5170367422618725</v>
      </c>
      <c r="BS31" s="24">
        <f t="shared" si="9"/>
        <v>4.5170367422618725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14.8</v>
      </c>
      <c r="BY31" s="13">
        <f>IF('Données projet'!$A$114&gt;35,BY30+BX31-CG30,IF(A31&lt;'Données projet'!$A$114,$BV$205^A31,IF(A31='Données projet'!$A$114,'Données projet'!$B$114,BY30+BX31-CG30)))</f>
        <v>175.40000000000009</v>
      </c>
      <c r="BZ31" s="14">
        <f>BY31*VLOOKUP('Données projet'!$B$12,Paramètres!$A$1:$I$89,3,0)*VLOOKUP('Données projet'!$B$12,Paramètres!$A$1:$I$89,5,0)</f>
        <v>153.2294400000001</v>
      </c>
      <c r="CA31" s="14">
        <f t="shared" si="39"/>
        <v>39.311575138468363</v>
      </c>
      <c r="CB31" s="22">
        <f t="shared" si="10"/>
        <v>335.34226803283252</v>
      </c>
      <c r="CC31" s="62">
        <f t="shared" si="11"/>
        <v>626.23115692172132</v>
      </c>
      <c r="CD31" s="62">
        <f ca="1">AVERAGE(OFFSET($CC$3,0,0,'Données projet'!$E$12+1,1))-AVERAGE(OFFSET($H$3,0,0,'Données projet'!$E$12+1,1))</f>
        <v>304.32767345253382</v>
      </c>
      <c r="CE31" s="62">
        <f t="shared" si="40"/>
        <v>427.16091343339173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8.6</v>
      </c>
      <c r="CT31" s="13">
        <f>IF('Données projet'!$A$140&gt;35,CT30+CS31-DB30,IF(A31&lt;'Données projet'!$A$140,$CQ$205^A31,IF(A31='Données projet'!$A$140,'Données projet'!$B$140,CT30+CS31-DB30)))</f>
        <v>225.79999999999998</v>
      </c>
      <c r="CU31" s="18">
        <f>CT31*VLOOKUP('Données projet'!$B$13,Paramètres!$A$1:$I$89,3,0)*VLOOKUP('Données projet'!$B$13,Paramètres!$A$1:$I$89,5,0)</f>
        <v>204.30383999999995</v>
      </c>
      <c r="CV31" s="14">
        <f t="shared" si="41"/>
        <v>50.688846269088558</v>
      </c>
      <c r="CW31" s="22">
        <f t="shared" si="13"/>
        <v>444.11226191866245</v>
      </c>
      <c r="CX31" s="62">
        <f t="shared" si="14"/>
        <v>735.00115080755131</v>
      </c>
      <c r="CY31" s="62">
        <f ca="1">AVERAGE(OFFSET($CX$3,0,0,'Données projet'!$E$13+1,1))-AVERAGE(OFFSET($H$3,0,0,'Données projet'!$E$13+1,1))</f>
        <v>350.06545824795847</v>
      </c>
      <c r="CZ31" s="62">
        <f t="shared" si="42"/>
        <v>513.80016421153414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9.1999999999999993</v>
      </c>
      <c r="DO31" s="13">
        <f>IF('Données projet'!$A$166&gt;35,DO30+DN31-DW30,IF(A31&lt;'Données projet'!$A$166,$DL$205^A31,IF(A31='Données projet'!$A$166,'Données projet'!$B$166,DO30+DN31-DW30)))</f>
        <v>102.60000000000002</v>
      </c>
      <c r="DP31" s="18">
        <f>DO31*VLOOKUP('Données projet'!$B$14,Paramètres!$A$1:$I$89,3,0)*VLOOKUP('Données projet'!$B$14,Paramètres!$A$1:$I$89,5,0)</f>
        <v>81.628560000000022</v>
      </c>
      <c r="DQ31" s="14">
        <f t="shared" si="43"/>
        <v>22.534907282778494</v>
      </c>
      <c r="DR31" s="22">
        <f t="shared" si="16"/>
        <v>181.41803885083925</v>
      </c>
      <c r="DS31" s="62">
        <f t="shared" si="17"/>
        <v>472.30692773972811</v>
      </c>
      <c r="DT31" s="62">
        <f ca="1">AVERAGE(OFFSET($DS$3,0,0,'Données projet'!$E$14+1,1))-AVERAGE(OFFSET($H$3,0,0,'Données projet'!$E$14+1,1))</f>
        <v>382.14353215900121</v>
      </c>
      <c r="DU31" s="62">
        <f t="shared" si="44"/>
        <v>249.73945975250177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3.7156269976670231</v>
      </c>
      <c r="ED31" s="24">
        <f t="shared" si="18"/>
        <v>3.7156269976670231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111.80000000000003</v>
      </c>
      <c r="O32" s="14">
        <f>N32*VLOOKUP('Données projet'!$B$9,Paramètres!$A$1:$I$89,3,0)*VLOOKUP('Données projet'!$B$9,Paramètres!$A$1:$I$89,5,0)</f>
        <v>101.15664000000001</v>
      </c>
      <c r="P32" s="14">
        <f t="shared" si="33"/>
        <v>27.237366379381644</v>
      </c>
      <c r="Q32" s="22">
        <f t="shared" si="2"/>
        <v>223.61956111075639</v>
      </c>
      <c r="R32" s="62">
        <f t="shared" si="0"/>
        <v>515.73067222186751</v>
      </c>
      <c r="S32" s="62">
        <f ca="1">AVERAGE(OFFSET($R$3,0,0,'Données projet'!$E$9+1,1))-AVERAGE(OFFSET($H$3,0,0,'Données projet'!$E$9+1,1))</f>
        <v>429.08375622925655</v>
      </c>
      <c r="T32" s="62">
        <f t="shared" si="34"/>
        <v>278.21741231699929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2.9879610331723438</v>
      </c>
      <c r="AC32" s="24">
        <f t="shared" si="3"/>
        <v>2.9879610331723438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9.1999999999999993</v>
      </c>
      <c r="AI32" s="14">
        <f>IF('Données projet'!$A$62&gt;35,AI31+AH32-AQ31,IF(A32&lt;'Données projet'!$A$62,$AF$205^A32,IF(A32='Données projet'!$A$62,'Données projet'!$B$62,AI31+AH32-AQ31)))</f>
        <v>111.80000000000003</v>
      </c>
      <c r="AJ32" s="14">
        <f>AI32*VLOOKUP('Données projet'!$B$10,Paramètres!$A$1:$I$89,3,0)*VLOOKUP('Données projet'!$B$10,Paramètres!$A$1:$I$89,5,0)</f>
        <v>106.38888000000001</v>
      </c>
      <c r="AK32" s="14">
        <f t="shared" si="35"/>
        <v>28.478530760975403</v>
      </c>
      <c r="AL32" s="22">
        <f t="shared" si="4"/>
        <v>234.89407374203219</v>
      </c>
      <c r="AM32" s="62">
        <f t="shared" si="5"/>
        <v>527.00518485314331</v>
      </c>
      <c r="AN32" s="62">
        <f ca="1">AVERAGE(OFFSET($AM$3,0,0,'Données projet'!$E$10+1,1))-AVERAGE(OFFSET($H$3,0,0,'Données projet'!$E$10+1,1))</f>
        <v>449.16408464351673</v>
      </c>
      <c r="AO32" s="62">
        <f t="shared" si="36"/>
        <v>290.39826583283588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3.1425107417847067</v>
      </c>
      <c r="AX32" s="23">
        <f t="shared" si="6"/>
        <v>3.1425107417847067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9.1999999999999993</v>
      </c>
      <c r="BD32" s="13">
        <f>IF('Données projet'!$A$88&gt;35,BD31+BC32-BL31,IF(A32&lt;'Données projet'!$A$88,$BA$205^A32,IF(A32='Données projet'!$A$88,'Données projet'!$B$88,BD31+BC32-BL31)))</f>
        <v>111.80000000000003</v>
      </c>
      <c r="BE32" s="14">
        <f>BD32*VLOOKUP('Données projet'!$B$11,Paramètres!$A$1:$I$89,3,0)*VLOOKUP('Données projet'!$B$11,Paramètres!$A$1:$I$89,5,0)</f>
        <v>108.13296000000003</v>
      </c>
      <c r="BF32" s="14">
        <f t="shared" si="37"/>
        <v>28.890658079177882</v>
      </c>
      <c r="BG32" s="22">
        <f t="shared" si="7"/>
        <v>238.64946815456821</v>
      </c>
      <c r="BH32" s="62">
        <f t="shared" si="8"/>
        <v>530.76057926567933</v>
      </c>
      <c r="BI32" s="62">
        <f ca="1">AVERAGE(OFFSET($BH$3,0,0,'Données projet'!$E$11+1,1))-AVERAGE(OFFSET($H$3,0,0,'Données projet'!$E$11+1,1))</f>
        <v>455.85294519779609</v>
      </c>
      <c r="BJ32" s="62">
        <f t="shared" si="38"/>
        <v>294.45557293177131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3.1940273113221616</v>
      </c>
      <c r="BS32" s="24">
        <f t="shared" si="9"/>
        <v>3.1940273113221616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14.8</v>
      </c>
      <c r="BY32" s="13">
        <f>IF('Données projet'!$A$114&gt;35,BY31+BX32-CG31,IF(A32&lt;'Données projet'!$A$114,$BV$205^A32,IF(A32='Données projet'!$A$114,'Données projet'!$B$114,BY31+BX32-CG31)))</f>
        <v>190.2000000000001</v>
      </c>
      <c r="BZ32" s="14">
        <f>BY32*VLOOKUP('Données projet'!$B$12,Paramètres!$A$1:$I$89,3,0)*VLOOKUP('Données projet'!$B$12,Paramètres!$A$1:$I$89,5,0)</f>
        <v>166.15872000000013</v>
      </c>
      <c r="CA32" s="14">
        <f t="shared" si="39"/>
        <v>42.228563636586422</v>
      </c>
      <c r="CB32" s="22">
        <f t="shared" si="10"/>
        <v>362.94118566705487</v>
      </c>
      <c r="CC32" s="62">
        <f t="shared" si="11"/>
        <v>655.05229677816601</v>
      </c>
      <c r="CD32" s="62">
        <f ca="1">AVERAGE(OFFSET($CC$3,0,0,'Données projet'!$E$12+1,1))-AVERAGE(OFFSET($H$3,0,0,'Données projet'!$E$12+1,1))</f>
        <v>304.32767345253382</v>
      </c>
      <c r="CE32" s="62">
        <f t="shared" si="40"/>
        <v>427.16091343339173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8.6</v>
      </c>
      <c r="CT32" s="13">
        <f>IF('Données projet'!$A$140&gt;35,CT31+CS32-DB31,IF(A32&lt;'Données projet'!$A$140,$CQ$205^A32,IF(A32='Données projet'!$A$140,'Données projet'!$B$140,CT31+CS32-DB31)))</f>
        <v>234.39999999999998</v>
      </c>
      <c r="CU32" s="18">
        <f>CT32*VLOOKUP('Données projet'!$B$13,Paramètres!$A$1:$I$89,3,0)*VLOOKUP('Données projet'!$B$13,Paramètres!$A$1:$I$89,5,0)</f>
        <v>212.08511999999996</v>
      </c>
      <c r="CV32" s="14">
        <f t="shared" si="41"/>
        <v>52.390974537063087</v>
      </c>
      <c r="CW32" s="22">
        <f t="shared" si="13"/>
        <v>460.62919798538474</v>
      </c>
      <c r="CX32" s="62">
        <f t="shared" si="14"/>
        <v>752.74030909649582</v>
      </c>
      <c r="CY32" s="62">
        <f ca="1">AVERAGE(OFFSET($CX$3,0,0,'Données projet'!$E$13+1,1))-AVERAGE(OFFSET($H$3,0,0,'Données projet'!$E$13+1,1))</f>
        <v>350.06545824795847</v>
      </c>
      <c r="CZ32" s="62">
        <f t="shared" si="42"/>
        <v>513.80016421153414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9.1999999999999993</v>
      </c>
      <c r="DO32" s="13">
        <f>IF('Données projet'!$A$166&gt;35,DO31+DN32-DW31,IF(A32&lt;'Données projet'!$A$166,$DL$205^A32,IF(A32='Données projet'!$A$166,'Données projet'!$B$166,DO31+DN32-DW31)))</f>
        <v>111.80000000000003</v>
      </c>
      <c r="DP32" s="18">
        <f>DO32*VLOOKUP('Données projet'!$B$14,Paramètres!$A$1:$I$89,3,0)*VLOOKUP('Données projet'!$B$14,Paramètres!$A$1:$I$89,5,0)</f>
        <v>88.948080000000033</v>
      </c>
      <c r="DQ32" s="14">
        <f t="shared" si="43"/>
        <v>24.311353889016104</v>
      </c>
      <c r="DR32" s="22">
        <f t="shared" si="16"/>
        <v>197.26018069003644</v>
      </c>
      <c r="DS32" s="62">
        <f t="shared" si="17"/>
        <v>489.37129180114755</v>
      </c>
      <c r="DT32" s="62">
        <f ca="1">AVERAGE(OFFSET($DS$3,0,0,'Données projet'!$E$14+1,1))-AVERAGE(OFFSET($H$3,0,0,'Données projet'!$E$14+1,1))</f>
        <v>382.14353215900121</v>
      </c>
      <c r="DU32" s="62">
        <f t="shared" si="44"/>
        <v>249.73945975250177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2.6273450464101642</v>
      </c>
      <c r="ED32" s="24">
        <f t="shared" si="18"/>
        <v>2.6273450464101642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121.00000000000003</v>
      </c>
      <c r="O33" s="14">
        <f>N33*VLOOKUP('Données projet'!$B$9,Paramètres!$A$1:$I$89,3,0)*VLOOKUP('Données projet'!$B$9,Paramètres!$A$1:$I$89,5,0)</f>
        <v>109.48080000000002</v>
      </c>
      <c r="P33" s="14">
        <f t="shared" si="33"/>
        <v>29.208623339903898</v>
      </c>
      <c r="Q33" s="22">
        <f t="shared" si="2"/>
        <v>241.55074565033269</v>
      </c>
      <c r="R33" s="62">
        <f t="shared" si="0"/>
        <v>534.88407898366597</v>
      </c>
      <c r="S33" s="62">
        <f ca="1">AVERAGE(OFFSET($R$3,0,0,'Données projet'!$E$9+1,1))-AVERAGE(OFFSET($H$3,0,0,'Données projet'!$E$9+1,1))</f>
        <v>429.08375622925655</v>
      </c>
      <c r="T33" s="62">
        <f t="shared" si="34"/>
        <v>278.21741231699929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28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0.4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11.674282814628825</v>
      </c>
      <c r="AC33" s="24">
        <f t="shared" si="3"/>
        <v>11.674282814628825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121</v>
      </c>
      <c r="AG33" s="13">
        <f>VLOOKUP(A33,'Données projet'!$A$61:$I$81,9,0)</f>
        <v>9.1999999999999993</v>
      </c>
      <c r="AH33" s="13">
        <f t="array" ref="AH33">INDEX(AG:AG,MIN(IF(ISNUMBER(AG33:AG229),ROW(AG33:AG229),"")))</f>
        <v>9.1999999999999993</v>
      </c>
      <c r="AI33" s="14">
        <f>IF('Données projet'!$A$62&gt;35,AI32+AH33-AQ32,IF(A33&lt;'Données projet'!$A$62,$AF$205^A33,IF(A33='Données projet'!$A$62,'Données projet'!$B$62,AI32+AH33-AQ32)))</f>
        <v>121.00000000000003</v>
      </c>
      <c r="AJ33" s="14">
        <f>AI33*VLOOKUP('Données projet'!$B$10,Paramètres!$A$1:$I$89,3,0)*VLOOKUP('Données projet'!$B$10,Paramètres!$A$1:$I$89,5,0)</f>
        <v>115.14360000000003</v>
      </c>
      <c r="AK33" s="14">
        <f t="shared" si="35"/>
        <v>30.539614832250251</v>
      </c>
      <c r="AL33" s="22">
        <f t="shared" si="4"/>
        <v>253.73159916616927</v>
      </c>
      <c r="AM33" s="62">
        <f t="shared" si="5"/>
        <v>547.06493249950256</v>
      </c>
      <c r="AN33" s="62">
        <f ca="1">AVERAGE(OFFSET($AM$3,0,0,'Données projet'!$E$10+1,1))-AVERAGE(OFFSET($H$3,0,0,'Données projet'!$E$10+1,1))</f>
        <v>449.16408464351673</v>
      </c>
      <c r="AO33" s="62">
        <f t="shared" si="36"/>
        <v>290.39826583283588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28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0.4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12.278125029178593</v>
      </c>
      <c r="AX33" s="23">
        <f t="shared" si="6"/>
        <v>12.278125029178593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121</v>
      </c>
      <c r="BB33" s="13">
        <f>VLOOKUP(A33,'Données projet'!$A$87:$I$107,9,0)</f>
        <v>9.1999999999999993</v>
      </c>
      <c r="BC33" s="13">
        <f t="array" ref="BC33">INDEX(BB:BB,MIN(IF(ISNUMBER(BB33:BB229),ROW(BB33:BB229),"")))</f>
        <v>9.1999999999999993</v>
      </c>
      <c r="BD33" s="13">
        <f>IF('Données projet'!$A$88&gt;35,BD32+BC33-BL32,IF(A33&lt;'Données projet'!$A$88,$BA$205^A33,IF(A33='Données projet'!$A$88,'Données projet'!$B$88,BD32+BC33-BL32)))</f>
        <v>121.00000000000003</v>
      </c>
      <c r="BE33" s="14">
        <f>BD33*VLOOKUP('Données projet'!$B$11,Paramètres!$A$1:$I$89,3,0)*VLOOKUP('Données projet'!$B$11,Paramètres!$A$1:$I$89,5,0)</f>
        <v>117.03120000000003</v>
      </c>
      <c r="BF33" s="14">
        <f t="shared" si="37"/>
        <v>30.981569147428555</v>
      </c>
      <c r="BG33" s="22">
        <f t="shared" si="7"/>
        <v>257.78890626510474</v>
      </c>
      <c r="BH33" s="62">
        <f t="shared" si="8"/>
        <v>551.122239598438</v>
      </c>
      <c r="BI33" s="62">
        <f ca="1">AVERAGE(OFFSET($BH$3,0,0,'Données projet'!$E$11+1,1))-AVERAGE(OFFSET($H$3,0,0,'Données projet'!$E$11+1,1))</f>
        <v>455.85294519779609</v>
      </c>
      <c r="BJ33" s="62">
        <f t="shared" si="38"/>
        <v>294.45557293177131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28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0.4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12.479405767361849</v>
      </c>
      <c r="BS33" s="24">
        <f t="shared" si="9"/>
        <v>12.479405767361849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205</v>
      </c>
      <c r="BW33" s="13">
        <f>VLOOKUP(A33,'Données projet'!$A$113:$I$133,9,0)</f>
        <v>14.8</v>
      </c>
      <c r="BX33" s="13">
        <f t="array" ref="BX33">INDEX(BW:BW,MIN(IF(ISNUMBER(BW33:BW229),ROW(BW33:BW229),"")))</f>
        <v>14.8</v>
      </c>
      <c r="BY33" s="13">
        <f>IF('Données projet'!$A$114&gt;35,BY32+BX33-CG32,IF(A33&lt;'Données projet'!$A$114,$BV$205^A33,IF(A33='Données projet'!$A$114,'Données projet'!$B$114,BY32+BX33-CG32)))</f>
        <v>205.00000000000011</v>
      </c>
      <c r="BZ33" s="14">
        <f>BY33*VLOOKUP('Données projet'!$B$12,Paramètres!$A$1:$I$89,3,0)*VLOOKUP('Données projet'!$B$12,Paramètres!$A$1:$I$89,5,0)</f>
        <v>179.08800000000011</v>
      </c>
      <c r="CA33" s="14">
        <f t="shared" si="39"/>
        <v>45.119223023956877</v>
      </c>
      <c r="CB33" s="22">
        <f t="shared" si="10"/>
        <v>390.4942467667251</v>
      </c>
      <c r="CC33" s="62">
        <f t="shared" si="11"/>
        <v>683.82758010005841</v>
      </c>
      <c r="CD33" s="62">
        <f ca="1">AVERAGE(OFFSET($CC$3,0,0,'Données projet'!$E$12+1,1))-AVERAGE(OFFSET($H$3,0,0,'Données projet'!$E$12+1,1))</f>
        <v>304.32767345253382</v>
      </c>
      <c r="CE33" s="62">
        <f t="shared" si="40"/>
        <v>427.16091343339173</v>
      </c>
      <c r="CF33" s="16">
        <f>IF(ISNA(VLOOKUP(A33,'Données projet'!$A$113:$I$133,3,0)),0,VLOOKUP(A33,'Données projet'!$A$113:$I$133,3,0))</f>
        <v>4</v>
      </c>
      <c r="CG33" s="16">
        <f>IF(ISNA(VLOOKUP(A33,'Données projet'!$A$113:$I$133,4,0)),0,VLOOKUP(A33,'Données projet'!$A$113:$I$133,4,0))</f>
        <v>51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243</v>
      </c>
      <c r="CR33" s="13">
        <f>VLOOKUP(A33,'Données projet'!$A$139:$I$159,9,0)</f>
        <v>8.6</v>
      </c>
      <c r="CS33" s="13">
        <f t="array" ref="CS33">INDEX(CR:CR,MIN(IF(ISNUMBER(CR33:CR229),ROW(CR33:CR229),"")))</f>
        <v>8.6</v>
      </c>
      <c r="CT33" s="13">
        <f>IF('Données projet'!$A$140&gt;35,CT32+CS33-DB32,IF(A33&lt;'Données projet'!$A$140,$CQ$205^A33,IF(A33='Données projet'!$A$140,'Données projet'!$B$140,CT32+CS33-DB32)))</f>
        <v>242.99999999999997</v>
      </c>
      <c r="CU33" s="18">
        <f>CT33*VLOOKUP('Données projet'!$B$13,Paramètres!$A$1:$I$89,3,0)*VLOOKUP('Données projet'!$B$13,Paramètres!$A$1:$I$89,5,0)</f>
        <v>219.86639999999997</v>
      </c>
      <c r="CV33" s="14">
        <f t="shared" si="41"/>
        <v>54.085847394182416</v>
      </c>
      <c r="CW33" s="22">
        <f t="shared" si="13"/>
        <v>477.13349754486762</v>
      </c>
      <c r="CX33" s="62">
        <f t="shared" si="14"/>
        <v>770.46683087820088</v>
      </c>
      <c r="CY33" s="62">
        <f ca="1">AVERAGE(OFFSET($CX$3,0,0,'Données projet'!$E$13+1,1))-AVERAGE(OFFSET($H$3,0,0,'Données projet'!$E$13+1,1))</f>
        <v>350.06545824795847</v>
      </c>
      <c r="CZ33" s="62">
        <f t="shared" si="42"/>
        <v>513.80016421153414</v>
      </c>
      <c r="DA33" s="16">
        <f>IF(ISNA(VLOOKUP(A33,'Données projet'!$A$139:$I$159,3,0)),0,VLOOKUP(A33,'Données projet'!$A$139:$I$159,3,0))</f>
        <v>4</v>
      </c>
      <c r="DB33" s="16">
        <f>IF(ISNA(VLOOKUP(A33,'Données projet'!$A$139:$I$159,4,0)),0,VLOOKUP(A33,'Données projet'!$A$139:$I$159,4,0))</f>
        <v>11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121</v>
      </c>
      <c r="DM33" s="13">
        <f>VLOOKUP(A33,'Données projet'!$A$165:$I$185,9,0)</f>
        <v>9.1999999999999993</v>
      </c>
      <c r="DN33" s="13">
        <f t="array" ref="DN33">INDEX(DM:DM,MIN(IF(ISNUMBER(DM33:DM229),ROW(DM33:DM229),"")))</f>
        <v>9.1999999999999993</v>
      </c>
      <c r="DO33" s="13">
        <f>IF('Données projet'!$A$166&gt;35,DO32+DN33-DW32,IF(A33&lt;'Données projet'!$A$166,$DL$205^A33,IF(A33='Données projet'!$A$166,'Données projet'!$B$166,DO32+DN33-DW32)))</f>
        <v>121.00000000000003</v>
      </c>
      <c r="DP33" s="18">
        <f>DO33*VLOOKUP('Données projet'!$B$14,Paramètres!$A$1:$I$89,3,0)*VLOOKUP('Données projet'!$B$14,Paramètres!$A$1:$I$89,5,0)</f>
        <v>96.26760000000003</v>
      </c>
      <c r="DQ33" s="14">
        <f t="shared" si="43"/>
        <v>26.070845790910134</v>
      </c>
      <c r="DR33" s="22">
        <f t="shared" si="16"/>
        <v>213.07279308583517</v>
      </c>
      <c r="DS33" s="62">
        <f t="shared" si="17"/>
        <v>506.40612641916846</v>
      </c>
      <c r="DT33" s="62">
        <f ca="1">AVERAGE(OFFSET($DS$3,0,0,'Données projet'!$E$14+1,1))-AVERAGE(OFFSET($H$3,0,0,'Données projet'!$E$14+1,1))</f>
        <v>382.14353215900121</v>
      </c>
      <c r="DU33" s="62">
        <f t="shared" si="44"/>
        <v>249.73945975250177</v>
      </c>
      <c r="DV33" s="16">
        <f>IF(ISNA(VLOOKUP(A33,'Données projet'!$A$165:$I$185,3,0)),0,VLOOKUP(A33,'Données projet'!$A$165:$I$185,3,0))</f>
        <v>3</v>
      </c>
      <c r="DW33" s="16">
        <f>IF(ISNA(VLOOKUP(A33,'Données projet'!$A$165:$I$185,4,0)),0,VLOOKUP(A33,'Données projet'!$A$165:$I$185,4,0))</f>
        <v>28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0.4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10.265317647346036</v>
      </c>
      <c r="ED33" s="24">
        <f t="shared" si="18"/>
        <v>10.265317647346036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103.80000000000004</v>
      </c>
      <c r="O34" s="14">
        <f>N34*VLOOKUP('Données projet'!$B$9,Paramètres!$A$1:$I$89,3,0)*VLOOKUP('Données projet'!$B$9,Paramètres!$A$1:$I$89,5,0)</f>
        <v>93.91824000000004</v>
      </c>
      <c r="P34" s="14">
        <f t="shared" si="33"/>
        <v>25.507853654186022</v>
      </c>
      <c r="Q34" s="22">
        <f t="shared" si="2"/>
        <v>208.00044644770739</v>
      </c>
      <c r="R34" s="62">
        <f t="shared" si="0"/>
        <v>501.33377978104068</v>
      </c>
      <c r="S34" s="62">
        <f ca="1">AVERAGE(OFFSET($R$3,0,0,'Données projet'!$E$9+1,1))-AVERAGE(OFFSET($H$3,0,0,'Données projet'!$E$9+1,1))</f>
        <v>429.08375622925655</v>
      </c>
      <c r="T34" s="62">
        <f t="shared" si="34"/>
        <v>278.21741231699929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8.2549645437136174</v>
      </c>
      <c r="AC34" s="24">
        <f t="shared" si="3"/>
        <v>8.2549645437136174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10.8</v>
      </c>
      <c r="AI34" s="14">
        <f>IF('Données projet'!$A$62&gt;35,AI33+AH34-AQ33,IF(A34&lt;'Données projet'!$A$62,$AF$205^A34,IF(A34='Données projet'!$A$62,'Données projet'!$B$62,AI33+AH34-AQ33)))</f>
        <v>103.80000000000004</v>
      </c>
      <c r="AJ34" s="14">
        <f>AI34*VLOOKUP('Données projet'!$B$10,Paramètres!$A$1:$I$89,3,0)*VLOOKUP('Données projet'!$B$10,Paramètres!$A$1:$I$89,5,0)</f>
        <v>98.77608000000005</v>
      </c>
      <c r="AK34" s="14">
        <f t="shared" si="35"/>
        <v>26.670206833473124</v>
      </c>
      <c r="AL34" s="22">
        <f t="shared" si="4"/>
        <v>218.48561623496576</v>
      </c>
      <c r="AM34" s="62">
        <f t="shared" si="5"/>
        <v>511.8189495682991</v>
      </c>
      <c r="AN34" s="62">
        <f ca="1">AVERAGE(OFFSET($AM$3,0,0,'Données projet'!$E$10+1,1))-AVERAGE(OFFSET($H$3,0,0,'Données projet'!$E$10+1,1))</f>
        <v>449.16408464351673</v>
      </c>
      <c r="AO34" s="62">
        <f t="shared" si="36"/>
        <v>290.39826583283588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8.6819454683884612</v>
      </c>
      <c r="AX34" s="23">
        <f t="shared" si="6"/>
        <v>8.6819454683884612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10.8</v>
      </c>
      <c r="BD34" s="13">
        <f>IF('Données projet'!$A$88&gt;35,BD33+BC34-BL33,IF(A34&lt;'Données projet'!$A$88,$BA$205^A34,IF(A34='Données projet'!$A$88,'Données projet'!$B$88,BD33+BC34-BL33)))</f>
        <v>103.80000000000004</v>
      </c>
      <c r="BE34" s="14">
        <f>BD34*VLOOKUP('Données projet'!$B$11,Paramètres!$A$1:$I$89,3,0)*VLOOKUP('Données projet'!$B$11,Paramètres!$A$1:$I$89,5,0)</f>
        <v>100.39536000000004</v>
      </c>
      <c r="BF34" s="14">
        <f t="shared" si="37"/>
        <v>27.056164975430569</v>
      </c>
      <c r="BG34" s="22">
        <f t="shared" si="7"/>
        <v>221.97807266554162</v>
      </c>
      <c r="BH34" s="62">
        <f t="shared" si="8"/>
        <v>515.31140599887499</v>
      </c>
      <c r="BI34" s="62">
        <f ca="1">AVERAGE(OFFSET($BH$3,0,0,'Données projet'!$E$11+1,1))-AVERAGE(OFFSET($H$3,0,0,'Données projet'!$E$11+1,1))</f>
        <v>455.85294519779609</v>
      </c>
      <c r="BJ34" s="62">
        <f t="shared" si="38"/>
        <v>294.45557293177131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8.8242724432800745</v>
      </c>
      <c r="BS34" s="24">
        <f t="shared" si="9"/>
        <v>8.8242724432800745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13.6</v>
      </c>
      <c r="BY34" s="13">
        <f>IF('Données projet'!$A$114&gt;35,BY33+BX34-CG33,IF(A34&lt;'Données projet'!$A$114,$BV$205^A34,IF(A34='Données projet'!$A$114,'Données projet'!$B$114,BY33+BX34-CG33)))</f>
        <v>167.60000000000011</v>
      </c>
      <c r="BZ34" s="14">
        <f>BY34*VLOOKUP('Données projet'!$B$12,Paramètres!$A$1:$I$89,3,0)*VLOOKUP('Données projet'!$B$12,Paramètres!$A$1:$I$89,5,0)</f>
        <v>146.41536000000011</v>
      </c>
      <c r="CA34" s="14">
        <f t="shared" si="39"/>
        <v>37.762820103024502</v>
      </c>
      <c r="CB34" s="22">
        <f t="shared" si="10"/>
        <v>320.77699701276782</v>
      </c>
      <c r="CC34" s="62">
        <f t="shared" si="11"/>
        <v>614.11033034610114</v>
      </c>
      <c r="CD34" s="62">
        <f ca="1">AVERAGE(OFFSET($CC$3,0,0,'Données projet'!$E$12+1,1))-AVERAGE(OFFSET($H$3,0,0,'Données projet'!$E$12+1,1))</f>
        <v>304.32767345253382</v>
      </c>
      <c r="CE34" s="62">
        <f t="shared" si="40"/>
        <v>427.16091343339173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7</v>
      </c>
      <c r="CT34" s="13">
        <f>IF('Données projet'!$A$140&gt;35,CT33+CS34-DB33,IF(A34&lt;'Données projet'!$A$140,$CQ$205^A34,IF(A34='Données projet'!$A$140,'Données projet'!$B$140,CT33+CS34-DB33)))</f>
        <v>238.99999999999997</v>
      </c>
      <c r="CU34" s="18">
        <f>CT34*VLOOKUP('Données projet'!$B$13,Paramètres!$A$1:$I$89,3,0)*VLOOKUP('Données projet'!$B$13,Paramètres!$A$1:$I$89,5,0)</f>
        <v>216.24719999999996</v>
      </c>
      <c r="CV34" s="14">
        <f t="shared" si="41"/>
        <v>53.298418226645332</v>
      </c>
      <c r="CW34" s="22">
        <f t="shared" si="13"/>
        <v>469.45861841140714</v>
      </c>
      <c r="CX34" s="62">
        <f t="shared" si="14"/>
        <v>762.79195174474046</v>
      </c>
      <c r="CY34" s="62">
        <f ca="1">AVERAGE(OFFSET($CX$3,0,0,'Données projet'!$E$13+1,1))-AVERAGE(OFFSET($H$3,0,0,'Données projet'!$E$13+1,1))</f>
        <v>350.06545824795847</v>
      </c>
      <c r="CZ34" s="62">
        <f t="shared" si="42"/>
        <v>513.80016421153414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10.8</v>
      </c>
      <c r="DO34" s="13">
        <f>IF('Données projet'!$A$166&gt;35,DO33+DN34-DW33,IF(A34&lt;'Données projet'!$A$166,$DL$205^A34,IF(A34='Données projet'!$A$166,'Données projet'!$B$166,DO33+DN34-DW33)))</f>
        <v>103.80000000000004</v>
      </c>
      <c r="DP34" s="18">
        <f>DO34*VLOOKUP('Données projet'!$B$14,Paramètres!$A$1:$I$89,3,0)*VLOOKUP('Données projet'!$B$14,Paramètres!$A$1:$I$89,5,0)</f>
        <v>82.583280000000045</v>
      </c>
      <c r="DQ34" s="14">
        <f t="shared" si="43"/>
        <v>22.767636507088277</v>
      </c>
      <c r="DR34" s="22">
        <f t="shared" si="16"/>
        <v>183.48617958317882</v>
      </c>
      <c r="DS34" s="62">
        <f t="shared" si="17"/>
        <v>476.81951291651217</v>
      </c>
      <c r="DT34" s="62">
        <f ca="1">AVERAGE(OFFSET($DS$3,0,0,'Données projet'!$E$14+1,1))-AVERAGE(OFFSET($H$3,0,0,'Données projet'!$E$14+1,1))</f>
        <v>382.14353215900121</v>
      </c>
      <c r="DU34" s="62">
        <f t="shared" si="44"/>
        <v>249.73945975250177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7.2586757194723184</v>
      </c>
      <c r="ED34" s="24">
        <f t="shared" si="18"/>
        <v>7.2586757194723184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114.60000000000004</v>
      </c>
      <c r="O35" s="14">
        <f>N35*VLOOKUP('Données projet'!$B$9,Paramètres!$A$1:$I$89,3,0)*VLOOKUP('Données projet'!$B$9,Paramètres!$A$1:$I$89,5,0)</f>
        <v>103.69008000000004</v>
      </c>
      <c r="P35" s="14">
        <f t="shared" si="33"/>
        <v>27.83924565319537</v>
      </c>
      <c r="Q35" s="22">
        <f t="shared" ref="Q35:Q66" si="53">(O35+P35)*0.475*44/12</f>
        <v>229.08024217931529</v>
      </c>
      <c r="R35" s="62">
        <f t="shared" si="0"/>
        <v>522.41357551264855</v>
      </c>
      <c r="S35" s="62">
        <f ca="1">AVERAGE(OFFSET($R$3,0,0,'Données projet'!$E$9+1,1))-AVERAGE(OFFSET($H$3,0,0,'Données projet'!$E$9+1,1))</f>
        <v>429.08375622925655</v>
      </c>
      <c r="T35" s="62">
        <f t="shared" si="34"/>
        <v>278.21741231699929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5.8371414073144132</v>
      </c>
      <c r="AC35" s="24">
        <f t="shared" si="3"/>
        <v>5.8371414073144132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10.8</v>
      </c>
      <c r="AI35" s="14">
        <f>IF('Données projet'!$A$62&gt;35,AI34+AH35-AQ34,IF(A35&lt;'Données projet'!$A$62,$AF$205^A35,IF(A35='Données projet'!$A$62,'Données projet'!$B$62,AI34+AH35-AQ34)))</f>
        <v>114.60000000000004</v>
      </c>
      <c r="AJ35" s="14">
        <f>AI35*VLOOKUP('Données projet'!$B$10,Paramètres!$A$1:$I$89,3,0)*VLOOKUP('Données projet'!$B$10,Paramètres!$A$1:$I$89,5,0)</f>
        <v>109.05336000000004</v>
      </c>
      <c r="AK35" s="14">
        <f t="shared" si="35"/>
        <v>29.107836736265032</v>
      </c>
      <c r="AL35" s="22">
        <f t="shared" si="4"/>
        <v>240.63075098232832</v>
      </c>
      <c r="AM35" s="62">
        <f t="shared" si="5"/>
        <v>533.96408431566169</v>
      </c>
      <c r="AN35" s="62">
        <f ca="1">AVERAGE(OFFSET($AM$3,0,0,'Données projet'!$E$10+1,1))-AVERAGE(OFFSET($H$3,0,0,'Données projet'!$E$10+1,1))</f>
        <v>449.16408464351673</v>
      </c>
      <c r="AO35" s="62">
        <f t="shared" si="36"/>
        <v>290.39826583283588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6.1390625145892983</v>
      </c>
      <c r="AX35" s="23">
        <f t="shared" si="6"/>
        <v>6.1390625145892983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10.8</v>
      </c>
      <c r="BD35" s="13">
        <f>IF('Données projet'!$A$88&gt;35,BD34+BC35-BL34,IF(A35&lt;'Données projet'!$A$88,$BA$205^A35,IF(A35='Données projet'!$A$88,'Données projet'!$B$88,BD34+BC35-BL34)))</f>
        <v>114.60000000000004</v>
      </c>
      <c r="BE35" s="14">
        <f>BD35*VLOOKUP('Données projet'!$B$11,Paramètres!$A$1:$I$89,3,0)*VLOOKUP('Données projet'!$B$11,Paramètres!$A$1:$I$89,5,0)</f>
        <v>110.84112000000003</v>
      </c>
      <c r="BF35" s="14">
        <f t="shared" si="37"/>
        <v>29.529071061640771</v>
      </c>
      <c r="BG35" s="22">
        <f t="shared" si="7"/>
        <v>244.47808276569106</v>
      </c>
      <c r="BH35" s="62">
        <f t="shared" si="8"/>
        <v>537.81141609902443</v>
      </c>
      <c r="BI35" s="62">
        <f ca="1">AVERAGE(OFFSET($BH$3,0,0,'Données projet'!$E$11+1,1))-AVERAGE(OFFSET($H$3,0,0,'Données projet'!$E$11+1,1))</f>
        <v>455.85294519779609</v>
      </c>
      <c r="BJ35" s="62">
        <f t="shared" si="38"/>
        <v>294.45557293177131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6.2397028836809252</v>
      </c>
      <c r="BS35" s="24">
        <f t="shared" si="9"/>
        <v>6.2397028836809252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13.6</v>
      </c>
      <c r="BY35" s="13">
        <f>IF('Données projet'!$A$114&gt;35,BY34+BX35-CG34,IF(A35&lt;'Données projet'!$A$114,$BV$205^A35,IF(A35='Données projet'!$A$114,'Données projet'!$B$114,BY34+BX35-CG34)))</f>
        <v>181.2000000000001</v>
      </c>
      <c r="BZ35" s="14">
        <f>BY35*VLOOKUP('Données projet'!$B$12,Paramètres!$A$1:$I$89,3,0)*VLOOKUP('Données projet'!$B$12,Paramètres!$A$1:$I$89,5,0)</f>
        <v>158.29632000000009</v>
      </c>
      <c r="CA35" s="14">
        <f t="shared" si="39"/>
        <v>40.458006540983739</v>
      </c>
      <c r="CB35" s="22">
        <f t="shared" si="10"/>
        <v>346.16378539221347</v>
      </c>
      <c r="CC35" s="62">
        <f t="shared" si="11"/>
        <v>639.49711872554678</v>
      </c>
      <c r="CD35" s="62">
        <f ca="1">AVERAGE(OFFSET($CC$3,0,0,'Données projet'!$E$12+1,1))-AVERAGE(OFFSET($H$3,0,0,'Données projet'!$E$12+1,1))</f>
        <v>304.32767345253382</v>
      </c>
      <c r="CE35" s="62">
        <f t="shared" si="40"/>
        <v>427.16091343339173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7</v>
      </c>
      <c r="CT35" s="13">
        <f>IF('Données projet'!$A$140&gt;35,CT34+CS35-DB34,IF(A35&lt;'Données projet'!$A$140,$CQ$205^A35,IF(A35='Données projet'!$A$140,'Données projet'!$B$140,CT34+CS35-DB34)))</f>
        <v>245.99999999999997</v>
      </c>
      <c r="CU35" s="18">
        <f>CT35*VLOOKUP('Données projet'!$B$13,Paramètres!$A$1:$I$89,3,0)*VLOOKUP('Données projet'!$B$13,Paramètres!$A$1:$I$89,5,0)</f>
        <v>222.58079999999998</v>
      </c>
      <c r="CV35" s="14">
        <f t="shared" si="41"/>
        <v>54.675428546153199</v>
      </c>
      <c r="CW35" s="22">
        <f t="shared" si="13"/>
        <v>482.88793138455003</v>
      </c>
      <c r="CX35" s="62">
        <f t="shared" si="14"/>
        <v>776.22126471788329</v>
      </c>
      <c r="CY35" s="62">
        <f ca="1">AVERAGE(OFFSET($CX$3,0,0,'Données projet'!$E$13+1,1))-AVERAGE(OFFSET($H$3,0,0,'Données projet'!$E$13+1,1))</f>
        <v>350.06545824795847</v>
      </c>
      <c r="CZ35" s="62">
        <f t="shared" si="42"/>
        <v>513.80016421153414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10.8</v>
      </c>
      <c r="DO35" s="13">
        <f>IF('Données projet'!$A$166&gt;35,DO34+DN35-DW34,IF(A35&lt;'Données projet'!$A$166,$DL$205^A35,IF(A35='Données projet'!$A$166,'Données projet'!$B$166,DO34+DN35-DW34)))</f>
        <v>114.60000000000004</v>
      </c>
      <c r="DP35" s="18">
        <f>DO35*VLOOKUP('Données projet'!$B$14,Paramètres!$A$1:$I$89,3,0)*VLOOKUP('Données projet'!$B$14,Paramètres!$A$1:$I$89,5,0)</f>
        <v>91.175760000000039</v>
      </c>
      <c r="DQ35" s="14">
        <f t="shared" si="43"/>
        <v>24.848575433138144</v>
      </c>
      <c r="DR35" s="22">
        <f t="shared" si="16"/>
        <v>202.07571754604899</v>
      </c>
      <c r="DS35" s="62">
        <f t="shared" si="17"/>
        <v>495.40905087938233</v>
      </c>
      <c r="DT35" s="62">
        <f ca="1">AVERAGE(OFFSET($DS$3,0,0,'Données projet'!$E$14+1,1))-AVERAGE(OFFSET($H$3,0,0,'Données projet'!$E$14+1,1))</f>
        <v>382.14353215900121</v>
      </c>
      <c r="DU35" s="62">
        <f t="shared" si="44"/>
        <v>249.73945975250177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5.1326588236730188</v>
      </c>
      <c r="ED35" s="24">
        <f t="shared" si="18"/>
        <v>5.1326588236730188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125.40000000000003</v>
      </c>
      <c r="O36" s="14">
        <f>N36*VLOOKUP('Données projet'!$B$9,Paramètres!$A$1:$I$89,3,0)*VLOOKUP('Données projet'!$B$9,Paramètres!$A$1:$I$89,5,0)</f>
        <v>113.46192000000002</v>
      </c>
      <c r="P36" s="14">
        <f t="shared" si="33"/>
        <v>30.145163126535493</v>
      </c>
      <c r="Q36" s="22">
        <f t="shared" si="53"/>
        <v>250.11566977871598</v>
      </c>
      <c r="R36" s="62">
        <f t="shared" si="0"/>
        <v>543.44900311204924</v>
      </c>
      <c r="S36" s="62">
        <f ca="1">AVERAGE(OFFSET($R$3,0,0,'Données projet'!$E$9+1,1))-AVERAGE(OFFSET($H$3,0,0,'Données projet'!$E$9+1,1))</f>
        <v>429.08375622925655</v>
      </c>
      <c r="T36" s="62">
        <f t="shared" si="34"/>
        <v>278.21741231699929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4.1274822718568087</v>
      </c>
      <c r="AC36" s="24">
        <f t="shared" si="3"/>
        <v>4.1274822718568087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10.8</v>
      </c>
      <c r="AI36" s="14">
        <f>IF('Données projet'!$A$62&gt;35,AI35+AH36-AQ35,IF(A36&lt;'Données projet'!$A$62,$AF$205^A36,IF(A36='Données projet'!$A$62,'Données projet'!$B$62,AI35+AH36-AQ35)))</f>
        <v>125.40000000000003</v>
      </c>
      <c r="AJ36" s="14">
        <f>AI36*VLOOKUP('Données projet'!$B$10,Paramètres!$A$1:$I$89,3,0)*VLOOKUP('Données projet'!$B$10,Paramètres!$A$1:$I$89,5,0)</f>
        <v>119.33064000000003</v>
      </c>
      <c r="AK36" s="14">
        <f t="shared" si="35"/>
        <v>31.518831278912842</v>
      </c>
      <c r="AL36" s="22">
        <f t="shared" si="4"/>
        <v>262.72949581077319</v>
      </c>
      <c r="AM36" s="62">
        <f t="shared" si="5"/>
        <v>556.06282914410644</v>
      </c>
      <c r="AN36" s="62">
        <f ca="1">AVERAGE(OFFSET($AM$3,0,0,'Données projet'!$E$10+1,1))-AVERAGE(OFFSET($H$3,0,0,'Données projet'!$E$10+1,1))</f>
        <v>449.16408464351673</v>
      </c>
      <c r="AO36" s="62">
        <f t="shared" si="36"/>
        <v>290.39826583283588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4.3409727341942315</v>
      </c>
      <c r="AX36" s="23">
        <f t="shared" si="6"/>
        <v>4.3409727341942315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10.8</v>
      </c>
      <c r="BD36" s="13">
        <f>IF('Données projet'!$A$88&gt;35,BD35+BC36-BL35,IF(A36&lt;'Données projet'!$A$88,$BA$205^A36,IF(A36='Données projet'!$A$88,'Données projet'!$B$88,BD35+BC36-BL35)))</f>
        <v>125.40000000000003</v>
      </c>
      <c r="BE36" s="14">
        <f>BD36*VLOOKUP('Données projet'!$B$11,Paramètres!$A$1:$I$89,3,0)*VLOOKUP('Données projet'!$B$11,Paramètres!$A$1:$I$89,5,0)</f>
        <v>121.28688000000004</v>
      </c>
      <c r="BF36" s="14">
        <f t="shared" si="37"/>
        <v>31.974956333849104</v>
      </c>
      <c r="BG36" s="22">
        <f t="shared" si="7"/>
        <v>266.93103161478729</v>
      </c>
      <c r="BH36" s="62">
        <f t="shared" si="8"/>
        <v>560.2643649481206</v>
      </c>
      <c r="BI36" s="62">
        <f ca="1">AVERAGE(OFFSET($BH$3,0,0,'Données projet'!$E$11+1,1))-AVERAGE(OFFSET($H$3,0,0,'Données projet'!$E$11+1,1))</f>
        <v>455.85294519779609</v>
      </c>
      <c r="BJ36" s="62">
        <f t="shared" si="38"/>
        <v>294.45557293177131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4.4121362216400382</v>
      </c>
      <c r="BS36" s="24">
        <f t="shared" si="9"/>
        <v>4.4121362216400382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13.6</v>
      </c>
      <c r="BY36" s="13">
        <f>IF('Données projet'!$A$114&gt;35,BY35+BX36-CG35,IF(A36&lt;'Données projet'!$A$114,$BV$205^A36,IF(A36='Données projet'!$A$114,'Données projet'!$B$114,BY35+BX36-CG35)))</f>
        <v>194.8000000000001</v>
      </c>
      <c r="BZ36" s="14">
        <f>BY36*VLOOKUP('Données projet'!$B$12,Paramètres!$A$1:$I$89,3,0)*VLOOKUP('Données projet'!$B$12,Paramètres!$A$1:$I$89,5,0)</f>
        <v>170.17728000000011</v>
      </c>
      <c r="CA36" s="14">
        <f t="shared" si="39"/>
        <v>43.129725999134671</v>
      </c>
      <c r="CB36" s="22">
        <f t="shared" si="10"/>
        <v>371.50970211515977</v>
      </c>
      <c r="CC36" s="62">
        <f t="shared" si="11"/>
        <v>664.84303544849308</v>
      </c>
      <c r="CD36" s="62">
        <f ca="1">AVERAGE(OFFSET($CC$3,0,0,'Données projet'!$E$12+1,1))-AVERAGE(OFFSET($H$3,0,0,'Données projet'!$E$12+1,1))</f>
        <v>304.32767345253382</v>
      </c>
      <c r="CE36" s="62">
        <f t="shared" si="40"/>
        <v>427.16091343339173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7</v>
      </c>
      <c r="CT36" s="13">
        <f>IF('Données projet'!$A$140&gt;35,CT35+CS36-DB35,IF(A36&lt;'Données projet'!$A$140,$CQ$205^A36,IF(A36='Données projet'!$A$140,'Données projet'!$B$140,CT35+CS36-DB35)))</f>
        <v>252.99999999999997</v>
      </c>
      <c r="CU36" s="18">
        <f>CT36*VLOOKUP('Données projet'!$B$13,Paramètres!$A$1:$I$89,3,0)*VLOOKUP('Données projet'!$B$13,Paramètres!$A$1:$I$89,5,0)</f>
        <v>228.91439999999997</v>
      </c>
      <c r="CV36" s="14">
        <f t="shared" si="41"/>
        <v>56.047884834417424</v>
      </c>
      <c r="CW36" s="22">
        <f t="shared" si="13"/>
        <v>496.30931275327697</v>
      </c>
      <c r="CX36" s="62">
        <f t="shared" si="14"/>
        <v>789.64264608661028</v>
      </c>
      <c r="CY36" s="62">
        <f ca="1">AVERAGE(OFFSET($CX$3,0,0,'Données projet'!$E$13+1,1))-AVERAGE(OFFSET($H$3,0,0,'Données projet'!$E$13+1,1))</f>
        <v>350.06545824795847</v>
      </c>
      <c r="CZ36" s="62">
        <f t="shared" si="42"/>
        <v>513.80016421153414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10.8</v>
      </c>
      <c r="DO36" s="13">
        <f>IF('Données projet'!$A$166&gt;35,DO35+DN36-DW35,IF(A36&lt;'Données projet'!$A$166,$DL$205^A36,IF(A36='Données projet'!$A$166,'Données projet'!$B$166,DO35+DN36-DW35)))</f>
        <v>125.40000000000003</v>
      </c>
      <c r="DP36" s="18">
        <f>DO36*VLOOKUP('Données projet'!$B$14,Paramètres!$A$1:$I$89,3,0)*VLOOKUP('Données projet'!$B$14,Paramètres!$A$1:$I$89,5,0)</f>
        <v>99.768240000000034</v>
      </c>
      <c r="DQ36" s="14">
        <f t="shared" si="43"/>
        <v>26.906776470360107</v>
      </c>
      <c r="DR36" s="22">
        <f t="shared" si="16"/>
        <v>220.62565368587721</v>
      </c>
      <c r="DS36" s="62">
        <f t="shared" si="17"/>
        <v>513.95898701921055</v>
      </c>
      <c r="DT36" s="62">
        <f ca="1">AVERAGE(OFFSET($DS$3,0,0,'Données projet'!$E$14+1,1))-AVERAGE(OFFSET($H$3,0,0,'Données projet'!$E$14+1,1))</f>
        <v>382.14353215900121</v>
      </c>
      <c r="DU36" s="62">
        <f t="shared" si="44"/>
        <v>249.73945975250177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3.6293378597361601</v>
      </c>
      <c r="ED36" s="24">
        <f t="shared" si="18"/>
        <v>3.6293378597361601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136.20000000000005</v>
      </c>
      <c r="O37" s="14">
        <f>N37*VLOOKUP('Données projet'!$B$9,Paramètres!$A$1:$I$89,3,0)*VLOOKUP('Données projet'!$B$9,Paramètres!$A$1:$I$89,5,0)</f>
        <v>123.23376000000005</v>
      </c>
      <c r="P37" s="14">
        <f t="shared" si="33"/>
        <v>32.428049504876491</v>
      </c>
      <c r="Q37" s="22">
        <f t="shared" si="53"/>
        <v>271.11098488765998</v>
      </c>
      <c r="R37" s="62">
        <f t="shared" si="0"/>
        <v>564.4443182209933</v>
      </c>
      <c r="S37" s="62">
        <f ca="1">AVERAGE(OFFSET($R$3,0,0,'Données projet'!$E$9+1,1))-AVERAGE(OFFSET($H$3,0,0,'Données projet'!$E$9+1,1))</f>
        <v>429.08375622925655</v>
      </c>
      <c r="T37" s="62">
        <f t="shared" si="34"/>
        <v>278.21741231699929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2.9185707036572066</v>
      </c>
      <c r="AC37" s="24">
        <f t="shared" si="3"/>
        <v>2.9185707036572066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10.8</v>
      </c>
      <c r="AI37" s="14">
        <f>IF('Données projet'!$A$62&gt;35,AI36+AH37-AQ36,IF(A37&lt;'Données projet'!$A$62,$AF$205^A37,IF(A37='Données projet'!$A$62,'Données projet'!$B$62,AI36+AH37-AQ36)))</f>
        <v>136.20000000000005</v>
      </c>
      <c r="AJ37" s="14">
        <f>AI37*VLOOKUP('Données projet'!$B$10,Paramètres!$A$1:$I$89,3,0)*VLOOKUP('Données projet'!$B$10,Paramètres!$A$1:$I$89,5,0)</f>
        <v>129.60792000000004</v>
      </c>
      <c r="AK37" s="14">
        <f t="shared" si="35"/>
        <v>33.905745235418173</v>
      </c>
      <c r="AL37" s="22">
        <f t="shared" si="4"/>
        <v>284.78630028501999</v>
      </c>
      <c r="AM37" s="62">
        <f t="shared" si="5"/>
        <v>578.1196336183533</v>
      </c>
      <c r="AN37" s="62">
        <f ca="1">AVERAGE(OFFSET($AM$3,0,0,'Données projet'!$E$10+1,1))-AVERAGE(OFFSET($H$3,0,0,'Données projet'!$E$10+1,1))</f>
        <v>449.16408464351673</v>
      </c>
      <c r="AO37" s="62">
        <f t="shared" si="36"/>
        <v>290.39826583283588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3.0695312572946496</v>
      </c>
      <c r="AX37" s="23">
        <f t="shared" si="6"/>
        <v>3.0695312572946496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10.8</v>
      </c>
      <c r="BD37" s="13">
        <f>IF('Données projet'!$A$88&gt;35,BD36+BC37-BL36,IF(A37&lt;'Données projet'!$A$88,$BA$205^A37,IF(A37='Données projet'!$A$88,'Données projet'!$B$88,BD36+BC37-BL36)))</f>
        <v>136.20000000000005</v>
      </c>
      <c r="BE37" s="14">
        <f>BD37*VLOOKUP('Données projet'!$B$11,Paramètres!$A$1:$I$89,3,0)*VLOOKUP('Données projet'!$B$11,Paramètres!$A$1:$I$89,5,0)</f>
        <v>131.73264000000006</v>
      </c>
      <c r="BF37" s="14">
        <f t="shared" si="37"/>
        <v>34.396412537492502</v>
      </c>
      <c r="BG37" s="22">
        <f t="shared" si="7"/>
        <v>289.3414331694662</v>
      </c>
      <c r="BH37" s="62">
        <f t="shared" si="8"/>
        <v>582.67476650279946</v>
      </c>
      <c r="BI37" s="62">
        <f ca="1">AVERAGE(OFFSET($BH$3,0,0,'Données projet'!$E$11+1,1))-AVERAGE(OFFSET($H$3,0,0,'Données projet'!$E$11+1,1))</f>
        <v>455.85294519779609</v>
      </c>
      <c r="BJ37" s="62">
        <f t="shared" si="38"/>
        <v>294.45557293177131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3.119851441840463</v>
      </c>
      <c r="BS37" s="24">
        <f t="shared" si="9"/>
        <v>3.119851441840463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13.6</v>
      </c>
      <c r="BY37" s="13">
        <f>IF('Données projet'!$A$114&gt;35,BY36+BX37-CG36,IF(A37&lt;'Données projet'!$A$114,$BV$205^A37,IF(A37='Données projet'!$A$114,'Données projet'!$B$114,BY36+BX37-CG36)))</f>
        <v>208.40000000000009</v>
      </c>
      <c r="BZ37" s="14">
        <f>BY37*VLOOKUP('Données projet'!$B$12,Paramètres!$A$1:$I$89,3,0)*VLOOKUP('Données projet'!$B$12,Paramètres!$A$1:$I$89,5,0)</f>
        <v>182.0582400000001</v>
      </c>
      <c r="CA37" s="14">
        <f t="shared" si="39"/>
        <v>45.779803189729343</v>
      </c>
      <c r="CB37" s="22">
        <f t="shared" si="10"/>
        <v>396.81792522211208</v>
      </c>
      <c r="CC37" s="62">
        <f t="shared" si="11"/>
        <v>690.15125855544534</v>
      </c>
      <c r="CD37" s="62">
        <f ca="1">AVERAGE(OFFSET($CC$3,0,0,'Données projet'!$E$12+1,1))-AVERAGE(OFFSET($H$3,0,0,'Données projet'!$E$12+1,1))</f>
        <v>304.32767345253382</v>
      </c>
      <c r="CE37" s="62">
        <f t="shared" si="40"/>
        <v>427.16091343339173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7</v>
      </c>
      <c r="CT37" s="13">
        <f>IF('Données projet'!$A$140&gt;35,CT36+CS37-DB36,IF(A37&lt;'Données projet'!$A$140,$CQ$205^A37,IF(A37='Données projet'!$A$140,'Données projet'!$B$140,CT36+CS37-DB36)))</f>
        <v>260</v>
      </c>
      <c r="CU37" s="18">
        <f>CT37*VLOOKUP('Données projet'!$B$13,Paramètres!$A$1:$I$89,3,0)*VLOOKUP('Données projet'!$B$13,Paramètres!$A$1:$I$89,5,0)</f>
        <v>235.24799999999999</v>
      </c>
      <c r="CV37" s="14">
        <f t="shared" si="41"/>
        <v>57.41592756883739</v>
      </c>
      <c r="CW37" s="22">
        <f t="shared" si="13"/>
        <v>509.72300718239177</v>
      </c>
      <c r="CX37" s="62">
        <f t="shared" si="14"/>
        <v>803.05634051572508</v>
      </c>
      <c r="CY37" s="62">
        <f ca="1">AVERAGE(OFFSET($CX$3,0,0,'Données projet'!$E$13+1,1))-AVERAGE(OFFSET($H$3,0,0,'Données projet'!$E$13+1,1))</f>
        <v>350.06545824795847</v>
      </c>
      <c r="CZ37" s="62">
        <f t="shared" si="42"/>
        <v>513.80016421153414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10.8</v>
      </c>
      <c r="DO37" s="13">
        <f>IF('Données projet'!$A$166&gt;35,DO36+DN37-DW36,IF(A37&lt;'Données projet'!$A$166,$DL$205^A37,IF(A37='Données projet'!$A$166,'Données projet'!$B$166,DO36+DN37-DW36)))</f>
        <v>136.20000000000005</v>
      </c>
      <c r="DP37" s="18">
        <f>DO37*VLOOKUP('Données projet'!$B$14,Paramètres!$A$1:$I$89,3,0)*VLOOKUP('Données projet'!$B$14,Paramètres!$A$1:$I$89,5,0)</f>
        <v>108.36072000000003</v>
      </c>
      <c r="DQ37" s="14">
        <f t="shared" si="43"/>
        <v>28.944420560439042</v>
      </c>
      <c r="DR37" s="22">
        <f t="shared" si="16"/>
        <v>239.13978647609801</v>
      </c>
      <c r="DS37" s="62">
        <f t="shared" si="17"/>
        <v>532.4731198094313</v>
      </c>
      <c r="DT37" s="62">
        <f ca="1">AVERAGE(OFFSET($DS$3,0,0,'Données projet'!$E$14+1,1))-AVERAGE(OFFSET($H$3,0,0,'Données projet'!$E$14+1,1))</f>
        <v>382.14353215900121</v>
      </c>
      <c r="DU37" s="62">
        <f t="shared" si="44"/>
        <v>249.73945975250177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2.5663294118365099</v>
      </c>
      <c r="ED37" s="24">
        <f t="shared" si="18"/>
        <v>2.5663294118365099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147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147.00000000000006</v>
      </c>
      <c r="O38" s="14">
        <f>N38*VLOOKUP('Données projet'!$B$9,Paramètres!$A$1:$I$89,3,0)*VLOOKUP('Données projet'!$B$9,Paramètres!$A$1:$I$89,5,0)</f>
        <v>133.00560000000004</v>
      </c>
      <c r="P38" s="14">
        <f t="shared" si="33"/>
        <v>34.689938673073549</v>
      </c>
      <c r="Q38" s="22">
        <f t="shared" si="53"/>
        <v>292.06972985560316</v>
      </c>
      <c r="R38" s="62">
        <f t="shared" si="0"/>
        <v>585.40306318893647</v>
      </c>
      <c r="S38" s="62">
        <f ca="1">AVERAGE(OFFSET($R$3,0,0,'Données projet'!$E$9+1,1))-AVERAGE(OFFSET($H$3,0,0,'Données projet'!$E$9+1,1))</f>
        <v>429.08375622925655</v>
      </c>
      <c r="T38" s="62">
        <f t="shared" si="34"/>
        <v>278.21741231699929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28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2.0637411359284044</v>
      </c>
      <c r="AC38" s="24">
        <f t="shared" si="3"/>
        <v>2.0637411359284044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147</v>
      </c>
      <c r="AG38" s="13">
        <f>VLOOKUP(A38,'Données projet'!$A$61:$I$81,9,0)</f>
        <v>10.8</v>
      </c>
      <c r="AH38" s="13">
        <f t="array" ref="AH38">INDEX(AG:AG,MIN(IF(ISNUMBER(AG38:AG234),ROW(AG38:AG234),"")))</f>
        <v>10.8</v>
      </c>
      <c r="AI38" s="14">
        <f>IF('Données projet'!$A$62&gt;35,AI37+AH38-AQ37,IF(A38&lt;'Données projet'!$A$62,$AF$205^A38,IF(A38='Données projet'!$A$62,'Données projet'!$B$62,AI37+AH38-AQ37)))</f>
        <v>147.00000000000006</v>
      </c>
      <c r="AJ38" s="14">
        <f>AI38*VLOOKUP('Données projet'!$B$10,Paramètres!$A$1:$I$89,3,0)*VLOOKUP('Données projet'!$B$10,Paramètres!$A$1:$I$89,5,0)</f>
        <v>139.88520000000005</v>
      </c>
      <c r="AK38" s="14">
        <f t="shared" si="35"/>
        <v>36.270705171602728</v>
      </c>
      <c r="AL38" s="22">
        <f t="shared" si="4"/>
        <v>306.80486817387487</v>
      </c>
      <c r="AM38" s="62">
        <f t="shared" si="5"/>
        <v>600.13820150720812</v>
      </c>
      <c r="AN38" s="62">
        <f ca="1">AVERAGE(OFFSET($AM$3,0,0,'Données projet'!$E$10+1,1))-AVERAGE(OFFSET($H$3,0,0,'Données projet'!$E$10+1,1))</f>
        <v>449.16408464351673</v>
      </c>
      <c r="AO38" s="62">
        <f t="shared" si="36"/>
        <v>290.39826583283588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28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2.1704863670971162</v>
      </c>
      <c r="AX38" s="23">
        <f t="shared" si="6"/>
        <v>2.1704863670971162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147</v>
      </c>
      <c r="BB38" s="13">
        <f>VLOOKUP(A38,'Données projet'!$A$87:$I$107,9,0)</f>
        <v>10.8</v>
      </c>
      <c r="BC38" s="13">
        <f t="array" ref="BC38">INDEX(BB:BB,MIN(IF(ISNUMBER(BB38:BB234),ROW(BB38:BB234),"")))</f>
        <v>10.8</v>
      </c>
      <c r="BD38" s="13">
        <f>IF('Données projet'!$A$88&gt;35,BD37+BC38-BL37,IF(A38&lt;'Données projet'!$A$88,$BA$205^A38,IF(A38='Données projet'!$A$88,'Données projet'!$B$88,BD37+BC38-BL37)))</f>
        <v>147.00000000000006</v>
      </c>
      <c r="BE38" s="14">
        <f>BD38*VLOOKUP('Données projet'!$B$11,Paramètres!$A$1:$I$89,3,0)*VLOOKUP('Données projet'!$B$11,Paramètres!$A$1:$I$89,5,0)</f>
        <v>142.17840000000004</v>
      </c>
      <c r="BF38" s="14">
        <f t="shared" si="37"/>
        <v>36.795597013009356</v>
      </c>
      <c r="BG38" s="22">
        <f t="shared" si="7"/>
        <v>311.71304479765803</v>
      </c>
      <c r="BH38" s="62">
        <f t="shared" si="8"/>
        <v>605.04637813099134</v>
      </c>
      <c r="BI38" s="62">
        <f ca="1">AVERAGE(OFFSET($BH$3,0,0,'Données projet'!$E$11+1,1))-AVERAGE(OFFSET($H$3,0,0,'Données projet'!$E$11+1,1))</f>
        <v>455.85294519779609</v>
      </c>
      <c r="BJ38" s="62">
        <f t="shared" si="38"/>
        <v>294.45557293177131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28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2.2060681108200191</v>
      </c>
      <c r="BS38" s="24">
        <f t="shared" si="9"/>
        <v>2.2060681108200191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222</v>
      </c>
      <c r="BW38" s="13">
        <f>VLOOKUP(A38,'Données projet'!$A$113:$I$133,9,0)</f>
        <v>13.6</v>
      </c>
      <c r="BX38" s="13">
        <f t="array" ref="BX38">INDEX(BW:BW,MIN(IF(ISNUMBER(BW38:BW234),ROW(BW38:BW234),"")))</f>
        <v>13.6</v>
      </c>
      <c r="BY38" s="13">
        <f>IF('Données projet'!$A$114&gt;35,BY37+BX38-CG37,IF(A38&lt;'Données projet'!$A$114,$BV$205^A38,IF(A38='Données projet'!$A$114,'Données projet'!$B$114,BY37+BX38-CG37)))</f>
        <v>222.00000000000009</v>
      </c>
      <c r="BZ38" s="14">
        <f>BY38*VLOOKUP('Données projet'!$B$12,Paramètres!$A$1:$I$89,3,0)*VLOOKUP('Données projet'!$B$12,Paramètres!$A$1:$I$89,5,0)</f>
        <v>193.93920000000011</v>
      </c>
      <c r="CA38" s="14">
        <f t="shared" si="39"/>
        <v>48.409811198069384</v>
      </c>
      <c r="CB38" s="22">
        <f t="shared" si="10"/>
        <v>422.09119450330428</v>
      </c>
      <c r="CC38" s="62">
        <f t="shared" si="11"/>
        <v>715.42452783663759</v>
      </c>
      <c r="CD38" s="62">
        <f ca="1">AVERAGE(OFFSET($CC$3,0,0,'Données projet'!$E$12+1,1))-AVERAGE(OFFSET($H$3,0,0,'Données projet'!$E$12+1,1))</f>
        <v>304.32767345253382</v>
      </c>
      <c r="CE38" s="62">
        <f t="shared" si="40"/>
        <v>427.16091343339173</v>
      </c>
      <c r="CF38" s="16">
        <f>IF(ISNA(VLOOKUP(A38,'Données projet'!$A$113:$I$133,3,0)),0,VLOOKUP(A38,'Données projet'!$A$113:$I$133,3,0))</f>
        <v>5</v>
      </c>
      <c r="CG38" s="16">
        <f>IF(ISNA(VLOOKUP(A38,'Données projet'!$A$113:$I$133,4,0)),0,VLOOKUP(A38,'Données projet'!$A$113:$I$133,4,0))</f>
        <v>49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267</v>
      </c>
      <c r="CR38" s="13">
        <f>VLOOKUP(A38,'Données projet'!$A$139:$I$159,9,0)</f>
        <v>7</v>
      </c>
      <c r="CS38" s="13">
        <f t="array" ref="CS38">INDEX(CR:CR,MIN(IF(ISNUMBER(CR38:CR234),ROW(CR38:CR234),"")))</f>
        <v>7</v>
      </c>
      <c r="CT38" s="13">
        <f>IF('Données projet'!$A$140&gt;35,CT37+CS38-DB37,IF(A38&lt;'Données projet'!$A$140,$CQ$205^A38,IF(A38='Données projet'!$A$140,'Données projet'!$B$140,CT37+CS38-DB37)))</f>
        <v>267</v>
      </c>
      <c r="CU38" s="18">
        <f>CT38*VLOOKUP('Données projet'!$B$13,Paramètres!$A$1:$I$89,3,0)*VLOOKUP('Données projet'!$B$13,Paramètres!$A$1:$I$89,5,0)</f>
        <v>241.58159999999998</v>
      </c>
      <c r="CV38" s="14">
        <f t="shared" si="41"/>
        <v>58.779689232021951</v>
      </c>
      <c r="CW38" s="22">
        <f t="shared" si="13"/>
        <v>523.12924541243819</v>
      </c>
      <c r="CX38" s="62">
        <f t="shared" si="14"/>
        <v>816.46257874577145</v>
      </c>
      <c r="CY38" s="62">
        <f ca="1">AVERAGE(OFFSET($CX$3,0,0,'Données projet'!$E$13+1,1))-AVERAGE(OFFSET($H$3,0,0,'Données projet'!$E$13+1,1))</f>
        <v>350.06545824795847</v>
      </c>
      <c r="CZ38" s="62">
        <f t="shared" si="42"/>
        <v>513.80016421153414</v>
      </c>
      <c r="DA38" s="16">
        <f>IF(ISNA(VLOOKUP(A38,'Données projet'!$A$139:$I$159,3,0)),0,VLOOKUP(A38,'Données projet'!$A$139:$I$159,3,0))</f>
        <v>5</v>
      </c>
      <c r="DB38" s="16">
        <f>IF(ISNA(VLOOKUP(A38,'Données projet'!$A$139:$I$159,4,0)),0,VLOOKUP(A38,'Données projet'!$A$139:$I$159,4,0))</f>
        <v>9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147</v>
      </c>
      <c r="DM38" s="13">
        <f>VLOOKUP(A38,'Données projet'!$A$165:$I$185,9,0)</f>
        <v>10.8</v>
      </c>
      <c r="DN38" s="13">
        <f t="array" ref="DN38">INDEX(DM:DM,MIN(IF(ISNUMBER(DM38:DM234),ROW(DM38:DM234),"")))</f>
        <v>10.8</v>
      </c>
      <c r="DO38" s="13">
        <f>IF('Données projet'!$A$166&gt;35,DO37+DN38-DW37,IF(A38&lt;'Données projet'!$A$166,$DL$205^A38,IF(A38='Données projet'!$A$166,'Données projet'!$B$166,DO37+DN38-DW37)))</f>
        <v>147.00000000000006</v>
      </c>
      <c r="DP38" s="18">
        <f>DO38*VLOOKUP('Données projet'!$B$14,Paramètres!$A$1:$I$89,3,0)*VLOOKUP('Données projet'!$B$14,Paramètres!$A$1:$I$89,5,0)</f>
        <v>116.95320000000005</v>
      </c>
      <c r="DQ38" s="14">
        <f t="shared" si="43"/>
        <v>30.963323095281662</v>
      </c>
      <c r="DR38" s="22">
        <f t="shared" si="16"/>
        <v>257.62127772428232</v>
      </c>
      <c r="DS38" s="62">
        <f t="shared" si="17"/>
        <v>550.95461105761569</v>
      </c>
      <c r="DT38" s="62">
        <f ca="1">AVERAGE(OFFSET($DS$3,0,0,'Données projet'!$E$14+1,1))-AVERAGE(OFFSET($H$3,0,0,'Données projet'!$E$14+1,1))</f>
        <v>382.14353215900121</v>
      </c>
      <c r="DU38" s="62">
        <f t="shared" si="44"/>
        <v>249.73945975250177</v>
      </c>
      <c r="DV38" s="16">
        <f>IF(ISNA(VLOOKUP(A38,'Données projet'!$A$165:$I$185,3,0)),0,VLOOKUP(A38,'Données projet'!$A$165:$I$185,3,0))</f>
        <v>4</v>
      </c>
      <c r="DW38" s="16">
        <f>IF(ISNA(VLOOKUP(A38,'Données projet'!$A$165:$I$185,4,0)),0,VLOOKUP(A38,'Données projet'!$A$165:$I$185,4,0))</f>
        <v>28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1.8146689298680803</v>
      </c>
      <c r="ED38" s="24">
        <f t="shared" si="18"/>
        <v>1.8146689298680803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11.2</v>
      </c>
      <c r="N39" s="14">
        <f>IF('Données projet'!$A$36&gt;35,N38+M39-V38,IF(A39&lt;'Données projet'!$A$36,$K$205^A39,IF(A39='Données projet'!$A$36,'Données projet'!$B$36,N38+M39-V38)))</f>
        <v>130.20000000000005</v>
      </c>
      <c r="O39" s="14">
        <f>N39*VLOOKUP('Données projet'!$B$9,Paramètres!$A$1:$I$89,3,0)*VLOOKUP('Données projet'!$B$9,Paramètres!$A$1:$I$89,5,0)</f>
        <v>117.80496000000004</v>
      </c>
      <c r="P39" s="14">
        <f t="shared" si="33"/>
        <v>31.162493487829593</v>
      </c>
      <c r="Q39" s="22">
        <f t="shared" si="53"/>
        <v>259.45164815796994</v>
      </c>
      <c r="R39" s="62">
        <f t="shared" si="0"/>
        <v>552.78498149130326</v>
      </c>
      <c r="S39" s="62">
        <f ca="1">AVERAGE(OFFSET($R$3,0,0,'Données projet'!$E$9+1,1))-AVERAGE(OFFSET($H$3,0,0,'Données projet'!$E$9+1,1))</f>
        <v>429.08375622925655</v>
      </c>
      <c r="T39" s="62">
        <f t="shared" si="34"/>
        <v>278.21741231699929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1.4592853518286033</v>
      </c>
      <c r="AC39" s="24">
        <f t="shared" si="3"/>
        <v>1.4592853518286033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11.2</v>
      </c>
      <c r="AI39" s="14">
        <f>IF('Données projet'!$A$62&gt;35,AI38+AH39-AQ38,IF(A39&lt;'Données projet'!$A$62,$AF$205^A39,IF(A39='Données projet'!$A$62,'Données projet'!$B$62,AI38+AH39-AQ38)))</f>
        <v>130.20000000000005</v>
      </c>
      <c r="AJ39" s="14">
        <f>AI39*VLOOKUP('Données projet'!$B$10,Paramètres!$A$1:$I$89,3,0)*VLOOKUP('Données projet'!$B$10,Paramètres!$A$1:$I$89,5,0)</f>
        <v>123.89832000000004</v>
      </c>
      <c r="AK39" s="14">
        <f t="shared" si="35"/>
        <v>32.58251980094704</v>
      </c>
      <c r="AL39" s="22">
        <f t="shared" si="4"/>
        <v>272.53746265331614</v>
      </c>
      <c r="AM39" s="62">
        <f t="shared" si="5"/>
        <v>565.87079598664945</v>
      </c>
      <c r="AN39" s="62">
        <f ca="1">AVERAGE(OFFSET($AM$3,0,0,'Données projet'!$E$10+1,1))-AVERAGE(OFFSET($H$3,0,0,'Données projet'!$E$10+1,1))</f>
        <v>449.16408464351673</v>
      </c>
      <c r="AO39" s="62">
        <f t="shared" si="36"/>
        <v>290.39826583283588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1.534765628647325</v>
      </c>
      <c r="AX39" s="23">
        <f t="shared" si="6"/>
        <v>1.534765628647325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11.2</v>
      </c>
      <c r="BD39" s="13">
        <f>IF('Données projet'!$A$88&gt;35,BD38+BC39-BL38,IF(A39&lt;'Données projet'!$A$88,$BA$205^A39,IF(A39='Données projet'!$A$88,'Données projet'!$B$88,BD38+BC39-BL38)))</f>
        <v>130.20000000000005</v>
      </c>
      <c r="BE39" s="14">
        <f>BD39*VLOOKUP('Données projet'!$B$11,Paramètres!$A$1:$I$89,3,0)*VLOOKUP('Données projet'!$B$11,Paramètres!$A$1:$I$89,5,0)</f>
        <v>125.92944000000006</v>
      </c>
      <c r="BF39" s="14">
        <f t="shared" si="37"/>
        <v>33.054038034052077</v>
      </c>
      <c r="BG39" s="22">
        <f t="shared" si="7"/>
        <v>276.89622424264081</v>
      </c>
      <c r="BH39" s="62">
        <f t="shared" si="8"/>
        <v>570.22955757597413</v>
      </c>
      <c r="BI39" s="62">
        <f ca="1">AVERAGE(OFFSET($BH$3,0,0,'Données projet'!$E$11+1,1))-AVERAGE(OFFSET($H$3,0,0,'Données projet'!$E$11+1,1))</f>
        <v>455.85294519779609</v>
      </c>
      <c r="BJ39" s="62">
        <f t="shared" si="38"/>
        <v>294.45557293177131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1.5599257209202315</v>
      </c>
      <c r="BS39" s="24">
        <f t="shared" si="9"/>
        <v>1.5599257209202315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12.4</v>
      </c>
      <c r="BY39" s="13">
        <f>IF('Données projet'!$A$114&gt;35,BY38+BX39-CG38,IF(A39&lt;'Données projet'!$A$114,$BV$205^A39,IF(A39='Données projet'!$A$114,'Données projet'!$B$114,BY38+BX39-CG38)))</f>
        <v>185.40000000000009</v>
      </c>
      <c r="BZ39" s="14">
        <f>BY39*VLOOKUP('Données projet'!$B$12,Paramètres!$A$1:$I$89,3,0)*VLOOKUP('Données projet'!$B$12,Paramètres!$A$1:$I$89,5,0)</f>
        <v>161.96544000000009</v>
      </c>
      <c r="CA39" s="14">
        <f t="shared" si="39"/>
        <v>41.285510388923619</v>
      </c>
      <c r="CB39" s="22">
        <f t="shared" si="10"/>
        <v>353.99540526070876</v>
      </c>
      <c r="CC39" s="62">
        <f t="shared" si="11"/>
        <v>647.32873859404208</v>
      </c>
      <c r="CD39" s="62">
        <f ca="1">AVERAGE(OFFSET($CC$3,0,0,'Données projet'!$E$12+1,1))-AVERAGE(OFFSET($H$3,0,0,'Données projet'!$E$12+1,1))</f>
        <v>304.32767345253382</v>
      </c>
      <c r="CE39" s="62">
        <f t="shared" si="40"/>
        <v>427.16091343339173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6.2</v>
      </c>
      <c r="CT39" s="13">
        <f>IF('Données projet'!$A$140&gt;35,CT38+CS39-DB38,IF(A39&lt;'Données projet'!$A$140,$CQ$205^A39,IF(A39='Données projet'!$A$140,'Données projet'!$B$140,CT38+CS39-DB38)))</f>
        <v>264.2</v>
      </c>
      <c r="CU39" s="18">
        <f>CT39*VLOOKUP('Données projet'!$B$13,Paramètres!$A$1:$I$89,3,0)*VLOOKUP('Données projet'!$B$13,Paramètres!$A$1:$I$89,5,0)</f>
        <v>239.04816</v>
      </c>
      <c r="CV39" s="14">
        <f t="shared" si="41"/>
        <v>58.234690128947292</v>
      </c>
      <c r="CW39" s="22">
        <f t="shared" si="13"/>
        <v>517.76763064124987</v>
      </c>
      <c r="CX39" s="62">
        <f t="shared" si="14"/>
        <v>811.10096397458324</v>
      </c>
      <c r="CY39" s="62">
        <f ca="1">AVERAGE(OFFSET($CX$3,0,0,'Données projet'!$E$13+1,1))-AVERAGE(OFFSET($H$3,0,0,'Données projet'!$E$13+1,1))</f>
        <v>350.06545824795847</v>
      </c>
      <c r="CZ39" s="62">
        <f t="shared" si="42"/>
        <v>513.80016421153414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11.2</v>
      </c>
      <c r="DO39" s="13">
        <f>IF('Données projet'!$A$166&gt;35,DO38+DN39-DW38,IF(A39&lt;'Données projet'!$A$166,$DL$205^A39,IF(A39='Données projet'!$A$166,'Données projet'!$B$166,DO38+DN39-DW38)))</f>
        <v>130.20000000000005</v>
      </c>
      <c r="DP39" s="18">
        <f>DO39*VLOOKUP('Données projet'!$B$14,Paramètres!$A$1:$I$89,3,0)*VLOOKUP('Données projet'!$B$14,Paramètres!$A$1:$I$89,5,0)</f>
        <v>103.58712000000006</v>
      </c>
      <c r="DQ39" s="14">
        <f t="shared" si="43"/>
        <v>27.814818683067713</v>
      </c>
      <c r="DR39" s="22">
        <f t="shared" si="16"/>
        <v>228.85837653967636</v>
      </c>
      <c r="DS39" s="62">
        <f t="shared" si="17"/>
        <v>522.1917098730097</v>
      </c>
      <c r="DT39" s="62">
        <f ca="1">AVERAGE(OFFSET($DS$3,0,0,'Données projet'!$E$14+1,1))-AVERAGE(OFFSET($H$3,0,0,'Données projet'!$E$14+1,1))</f>
        <v>382.14353215900121</v>
      </c>
      <c r="DU39" s="62">
        <f t="shared" si="44"/>
        <v>249.73945975250177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1.2831647059182552</v>
      </c>
      <c r="ED39" s="24">
        <f t="shared" si="18"/>
        <v>1.2831647059182552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11.2</v>
      </c>
      <c r="N40" s="14">
        <f>IF('Données projet'!$A$36&gt;35,N39+M40-V39,IF(A40&lt;'Données projet'!$A$36,$K$205^A40,IF(A40='Données projet'!$A$36,'Données projet'!$B$36,N39+M40-V39)))</f>
        <v>141.40000000000003</v>
      </c>
      <c r="O40" s="14">
        <f>N40*VLOOKUP('Données projet'!$B$9,Paramètres!$A$1:$I$89,3,0)*VLOOKUP('Données projet'!$B$9,Paramètres!$A$1:$I$89,5,0)</f>
        <v>127.93872000000003</v>
      </c>
      <c r="P40" s="14">
        <f t="shared" si="33"/>
        <v>33.519615889545641</v>
      </c>
      <c r="Q40" s="22">
        <f t="shared" si="53"/>
        <v>281.20660167429202</v>
      </c>
      <c r="R40" s="62">
        <f t="shared" si="0"/>
        <v>574.53993500762533</v>
      </c>
      <c r="S40" s="62">
        <f ca="1">AVERAGE(OFFSET($R$3,0,0,'Données projet'!$E$9+1,1))-AVERAGE(OFFSET($H$3,0,0,'Données projet'!$E$9+1,1))</f>
        <v>429.08375622925655</v>
      </c>
      <c r="T40" s="62">
        <f t="shared" si="34"/>
        <v>278.21741231699929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1.0318705679642022</v>
      </c>
      <c r="AC40" s="24">
        <f t="shared" si="3"/>
        <v>1.0318705679642022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11.2</v>
      </c>
      <c r="AI40" s="14">
        <f>IF('Données projet'!$A$62&gt;35,AI39+AH40-AQ39,IF(A40&lt;'Données projet'!$A$62,$AF$205^A40,IF(A40='Données projet'!$A$62,'Données projet'!$B$62,AI39+AH40-AQ39)))</f>
        <v>141.40000000000003</v>
      </c>
      <c r="AJ40" s="14">
        <f>AI40*VLOOKUP('Données projet'!$B$10,Paramètres!$A$1:$I$89,3,0)*VLOOKUP('Données projet'!$B$10,Paramètres!$A$1:$I$89,5,0)</f>
        <v>134.55624000000003</v>
      </c>
      <c r="AK40" s="14">
        <f t="shared" si="35"/>
        <v>35.047052600838754</v>
      </c>
      <c r="AL40" s="22">
        <f t="shared" si="4"/>
        <v>295.39240127979423</v>
      </c>
      <c r="AM40" s="62">
        <f t="shared" si="5"/>
        <v>588.72573461312754</v>
      </c>
      <c r="AN40" s="62">
        <f ca="1">AVERAGE(OFFSET($AM$3,0,0,'Données projet'!$E$10+1,1))-AVERAGE(OFFSET($H$3,0,0,'Données projet'!$E$10+1,1))</f>
        <v>449.16408464351673</v>
      </c>
      <c r="AO40" s="62">
        <f t="shared" si="36"/>
        <v>290.39826583283588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1.0852431835485581</v>
      </c>
      <c r="AX40" s="23">
        <f t="shared" si="6"/>
        <v>1.0852431835485581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11.2</v>
      </c>
      <c r="BD40" s="13">
        <f>IF('Données projet'!$A$88&gt;35,BD39+BC40-BL39,IF(A40&lt;'Données projet'!$A$88,$BA$205^A40,IF(A40='Données projet'!$A$88,'Données projet'!$B$88,BD39+BC40-BL39)))</f>
        <v>141.40000000000003</v>
      </c>
      <c r="BE40" s="14">
        <f>BD40*VLOOKUP('Données projet'!$B$11,Paramètres!$A$1:$I$89,3,0)*VLOOKUP('Données projet'!$B$11,Paramètres!$A$1:$I$89,5,0)</f>
        <v>136.76208000000003</v>
      </c>
      <c r="BF40" s="14">
        <f t="shared" si="37"/>
        <v>35.554236342883392</v>
      </c>
      <c r="BG40" s="22">
        <f t="shared" si="7"/>
        <v>300.11758429718861</v>
      </c>
      <c r="BH40" s="62">
        <f t="shared" si="8"/>
        <v>593.45091763052187</v>
      </c>
      <c r="BI40" s="62">
        <f ca="1">AVERAGE(OFFSET($BH$3,0,0,'Données projet'!$E$11+1,1))-AVERAGE(OFFSET($H$3,0,0,'Données projet'!$E$11+1,1))</f>
        <v>455.85294519779609</v>
      </c>
      <c r="BJ40" s="62">
        <f t="shared" si="38"/>
        <v>294.45557293177131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1.1030340554100095</v>
      </c>
      <c r="BS40" s="24">
        <f t="shared" si="9"/>
        <v>1.1030340554100095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12.4</v>
      </c>
      <c r="BY40" s="13">
        <f>IF('Données projet'!$A$114&gt;35,BY39+BX40-CG39,IF(A40&lt;'Données projet'!$A$114,$BV$205^A40,IF(A40='Données projet'!$A$114,'Données projet'!$B$114,BY39+BX40-CG39)))</f>
        <v>197.8000000000001</v>
      </c>
      <c r="BZ40" s="14">
        <f>BY40*VLOOKUP('Données projet'!$B$12,Paramètres!$A$1:$I$89,3,0)*VLOOKUP('Données projet'!$B$12,Paramètres!$A$1:$I$89,5,0)</f>
        <v>172.79808000000011</v>
      </c>
      <c r="CA40" s="14">
        <f t="shared" si="39"/>
        <v>43.716103757502459</v>
      </c>
      <c r="CB40" s="22">
        <f t="shared" si="10"/>
        <v>377.09553671098365</v>
      </c>
      <c r="CC40" s="62">
        <f t="shared" si="11"/>
        <v>670.42887004431691</v>
      </c>
      <c r="CD40" s="62">
        <f ca="1">AVERAGE(OFFSET($CC$3,0,0,'Données projet'!$E$12+1,1))-AVERAGE(OFFSET($H$3,0,0,'Données projet'!$E$12+1,1))</f>
        <v>304.32767345253382</v>
      </c>
      <c r="CE40" s="62">
        <f t="shared" si="40"/>
        <v>427.16091343339173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6.2</v>
      </c>
      <c r="CT40" s="13">
        <f>IF('Données projet'!$A$140&gt;35,CT39+CS40-DB39,IF(A40&lt;'Données projet'!$A$140,$CQ$205^A40,IF(A40='Données projet'!$A$140,'Données projet'!$B$140,CT39+CS40-DB39)))</f>
        <v>270.39999999999998</v>
      </c>
      <c r="CU40" s="18">
        <f>CT40*VLOOKUP('Données projet'!$B$13,Paramètres!$A$1:$I$89,3,0)*VLOOKUP('Données projet'!$B$13,Paramètres!$A$1:$I$89,5,0)</f>
        <v>244.65791999999996</v>
      </c>
      <c r="CV40" s="14">
        <f t="shared" si="41"/>
        <v>59.44058075210868</v>
      </c>
      <c r="CW40" s="22">
        <f t="shared" si="13"/>
        <v>529.6382221432558</v>
      </c>
      <c r="CX40" s="62">
        <f t="shared" si="14"/>
        <v>822.97155547658917</v>
      </c>
      <c r="CY40" s="62">
        <f ca="1">AVERAGE(OFFSET($CX$3,0,0,'Données projet'!$E$13+1,1))-AVERAGE(OFFSET($H$3,0,0,'Données projet'!$E$13+1,1))</f>
        <v>350.06545824795847</v>
      </c>
      <c r="CZ40" s="62">
        <f t="shared" si="42"/>
        <v>513.80016421153414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11.2</v>
      </c>
      <c r="DO40" s="13">
        <f>IF('Données projet'!$A$166&gt;35,DO39+DN40-DW39,IF(A40&lt;'Données projet'!$A$166,$DL$205^A40,IF(A40='Données projet'!$A$166,'Données projet'!$B$166,DO39+DN40-DW39)))</f>
        <v>141.40000000000003</v>
      </c>
      <c r="DP40" s="18">
        <f>DO40*VLOOKUP('Données projet'!$B$14,Paramètres!$A$1:$I$89,3,0)*VLOOKUP('Données projet'!$B$14,Paramètres!$A$1:$I$89,5,0)</f>
        <v>112.49784000000004</v>
      </c>
      <c r="DQ40" s="14">
        <f t="shared" si="43"/>
        <v>29.918723887031394</v>
      </c>
      <c r="DR40" s="22">
        <f t="shared" si="16"/>
        <v>248.04218210324635</v>
      </c>
      <c r="DS40" s="62">
        <f t="shared" si="17"/>
        <v>541.37551543657969</v>
      </c>
      <c r="DT40" s="62">
        <f ca="1">AVERAGE(OFFSET($DS$3,0,0,'Données projet'!$E$14+1,1))-AVERAGE(OFFSET($H$3,0,0,'Données projet'!$E$14+1,1))</f>
        <v>382.14353215900121</v>
      </c>
      <c r="DU40" s="62">
        <f t="shared" si="44"/>
        <v>249.73945975250177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0.90733446493404035</v>
      </c>
      <c r="ED40" s="24">
        <f t="shared" si="18"/>
        <v>0.90733446493404035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11.2</v>
      </c>
      <c r="N41" s="14">
        <f>IF('Données projet'!$A$36&gt;35,N40+M41-V40,IF(A41&lt;'Données projet'!$A$36,$K$205^A41,IF(A41='Données projet'!$A$36,'Données projet'!$B$36,N40+M41-V40)))</f>
        <v>152.60000000000002</v>
      </c>
      <c r="O41" s="14">
        <f>N41*VLOOKUP('Données projet'!$B$9,Paramètres!$A$1:$I$89,3,0)*VLOOKUP('Données projet'!$B$9,Paramètres!$A$1:$I$89,5,0)</f>
        <v>138.07248000000001</v>
      </c>
      <c r="P41" s="14">
        <f t="shared" si="33"/>
        <v>35.85508207677799</v>
      </c>
      <c r="Q41" s="22">
        <f t="shared" si="53"/>
        <v>302.9238372837217</v>
      </c>
      <c r="R41" s="62">
        <f t="shared" si="0"/>
        <v>596.25717061705495</v>
      </c>
      <c r="S41" s="62">
        <f ca="1">AVERAGE(OFFSET($R$3,0,0,'Données projet'!$E$9+1,1))-AVERAGE(OFFSET($H$3,0,0,'Données projet'!$E$9+1,1))</f>
        <v>429.08375622925655</v>
      </c>
      <c r="T41" s="62">
        <f t="shared" si="34"/>
        <v>278.21741231699929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0.72964267591430165</v>
      </c>
      <c r="AC41" s="24">
        <f t="shared" si="3"/>
        <v>0.72964267591430165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11.2</v>
      </c>
      <c r="AI41" s="14">
        <f>IF('Données projet'!$A$62&gt;35,AI40+AH41-AQ40,IF(A41&lt;'Données projet'!$A$62,$AF$205^A41,IF(A41='Données projet'!$A$62,'Données projet'!$B$62,AI40+AH41-AQ40)))</f>
        <v>152.60000000000002</v>
      </c>
      <c r="AJ41" s="14">
        <f>AI41*VLOOKUP('Données projet'!$B$10,Paramètres!$A$1:$I$89,3,0)*VLOOKUP('Données projet'!$B$10,Paramètres!$A$1:$I$89,5,0)</f>
        <v>145.21416000000002</v>
      </c>
      <c r="AK41" s="14">
        <f t="shared" si="35"/>
        <v>37.488942346268111</v>
      </c>
      <c r="AL41" s="22">
        <f t="shared" si="4"/>
        <v>318.20790325308366</v>
      </c>
      <c r="AM41" s="62">
        <f t="shared" si="5"/>
        <v>611.54123658641697</v>
      </c>
      <c r="AN41" s="62">
        <f ca="1">AVERAGE(OFFSET($AM$3,0,0,'Données projet'!$E$10+1,1))-AVERAGE(OFFSET($H$3,0,0,'Données projet'!$E$10+1,1))</f>
        <v>449.16408464351673</v>
      </c>
      <c r="AO41" s="62">
        <f t="shared" si="36"/>
        <v>290.39826583283588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0.76738281432366251</v>
      </c>
      <c r="AX41" s="23">
        <f t="shared" si="6"/>
        <v>0.76738281432366251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11.2</v>
      </c>
      <c r="BD41" s="13">
        <f>IF('Données projet'!$A$88&gt;35,BD40+BC41-BL40,IF(A41&lt;'Données projet'!$A$88,$BA$205^A41,IF(A41='Données projet'!$A$88,'Données projet'!$B$88,BD40+BC41-BL40)))</f>
        <v>152.60000000000002</v>
      </c>
      <c r="BE41" s="14">
        <f>BD41*VLOOKUP('Données projet'!$B$11,Paramètres!$A$1:$I$89,3,0)*VLOOKUP('Données projet'!$B$11,Paramètres!$A$1:$I$89,5,0)</f>
        <v>147.59472000000002</v>
      </c>
      <c r="BF41" s="14">
        <f t="shared" si="37"/>
        <v>38.031463918082679</v>
      </c>
      <c r="BG41" s="22">
        <f t="shared" si="7"/>
        <v>323.29893699066071</v>
      </c>
      <c r="BH41" s="62">
        <f t="shared" si="8"/>
        <v>616.63227032399402</v>
      </c>
      <c r="BI41" s="62">
        <f ca="1">AVERAGE(OFFSET($BH$3,0,0,'Données projet'!$E$11+1,1))-AVERAGE(OFFSET($H$3,0,0,'Données projet'!$E$11+1,1))</f>
        <v>455.85294519779609</v>
      </c>
      <c r="BJ41" s="62">
        <f t="shared" si="38"/>
        <v>294.45557293177131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0.77996286046011576</v>
      </c>
      <c r="BS41" s="24">
        <f t="shared" si="9"/>
        <v>0.77996286046011576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12.4</v>
      </c>
      <c r="BY41" s="13">
        <f>IF('Données projet'!$A$114&gt;35,BY40+BX41-CG40,IF(A41&lt;'Données projet'!$A$114,$BV$205^A41,IF(A41='Données projet'!$A$114,'Données projet'!$B$114,BY40+BX41-CG40)))</f>
        <v>210.2000000000001</v>
      </c>
      <c r="BZ41" s="14">
        <f>BY41*VLOOKUP('Données projet'!$B$12,Paramètres!$A$1:$I$89,3,0)*VLOOKUP('Données projet'!$B$12,Paramètres!$A$1:$I$89,5,0)</f>
        <v>183.63072000000011</v>
      </c>
      <c r="CA41" s="14">
        <f t="shared" si="39"/>
        <v>46.129013251634483</v>
      </c>
      <c r="CB41" s="22">
        <f t="shared" si="10"/>
        <v>400.16486874659694</v>
      </c>
      <c r="CC41" s="62">
        <f t="shared" si="11"/>
        <v>693.49820207993025</v>
      </c>
      <c r="CD41" s="62">
        <f ca="1">AVERAGE(OFFSET($CC$3,0,0,'Données projet'!$E$12+1,1))-AVERAGE(OFFSET($H$3,0,0,'Données projet'!$E$12+1,1))</f>
        <v>304.32767345253382</v>
      </c>
      <c r="CE41" s="62">
        <f t="shared" si="40"/>
        <v>427.16091343339173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6.2</v>
      </c>
      <c r="CT41" s="13">
        <f>IF('Données projet'!$A$140&gt;35,CT40+CS41-DB40,IF(A41&lt;'Données projet'!$A$140,$CQ$205^A41,IF(A41='Données projet'!$A$140,'Données projet'!$B$140,CT40+CS41-DB40)))</f>
        <v>276.59999999999997</v>
      </c>
      <c r="CU41" s="18">
        <f>CT41*VLOOKUP('Données projet'!$B$13,Paramètres!$A$1:$I$89,3,0)*VLOOKUP('Données projet'!$B$13,Paramètres!$A$1:$I$89,5,0)</f>
        <v>250.26767999999996</v>
      </c>
      <c r="CV41" s="14">
        <f t="shared" si="41"/>
        <v>60.643256925083442</v>
      </c>
      <c r="CW41" s="22">
        <f t="shared" si="13"/>
        <v>541.50321514452014</v>
      </c>
      <c r="CX41" s="62">
        <f t="shared" si="14"/>
        <v>834.83654847785351</v>
      </c>
      <c r="CY41" s="62">
        <f ca="1">AVERAGE(OFFSET($CX$3,0,0,'Données projet'!$E$13+1,1))-AVERAGE(OFFSET($H$3,0,0,'Données projet'!$E$13+1,1))</f>
        <v>350.06545824795847</v>
      </c>
      <c r="CZ41" s="62">
        <f t="shared" si="42"/>
        <v>513.80016421153414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11.2</v>
      </c>
      <c r="DO41" s="13">
        <f>IF('Données projet'!$A$166&gt;35,DO40+DN41-DW40,IF(A41&lt;'Données projet'!$A$166,$DL$205^A41,IF(A41='Données projet'!$A$166,'Données projet'!$B$166,DO40+DN41-DW40)))</f>
        <v>152.60000000000002</v>
      </c>
      <c r="DP41" s="18">
        <f>DO41*VLOOKUP('Données projet'!$B$14,Paramètres!$A$1:$I$89,3,0)*VLOOKUP('Données projet'!$B$14,Paramètres!$A$1:$I$89,5,0)</f>
        <v>121.40856000000002</v>
      </c>
      <c r="DQ41" s="14">
        <f t="shared" si="43"/>
        <v>32.003299325889408</v>
      </c>
      <c r="DR41" s="22">
        <f t="shared" si="16"/>
        <v>267.1923216592574</v>
      </c>
      <c r="DS41" s="62">
        <f t="shared" si="17"/>
        <v>560.52565499259072</v>
      </c>
      <c r="DT41" s="62">
        <f ca="1">AVERAGE(OFFSET($DS$3,0,0,'Données projet'!$E$14+1,1))-AVERAGE(OFFSET($H$3,0,0,'Données projet'!$E$14+1,1))</f>
        <v>382.14353215900121</v>
      </c>
      <c r="DU41" s="62">
        <f t="shared" si="44"/>
        <v>249.73945975250177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0.64158235295912769</v>
      </c>
      <c r="ED41" s="24">
        <f t="shared" si="18"/>
        <v>0.64158235295912769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11.2</v>
      </c>
      <c r="N42" s="14">
        <f>IF('Données projet'!$A$36&gt;35,N41+M42-V41,IF(A42&lt;'Données projet'!$A$36,$K$205^A42,IF(A42='Données projet'!$A$36,'Données projet'!$B$36,N41+M42-V41)))</f>
        <v>163.80000000000001</v>
      </c>
      <c r="O42" s="14">
        <f>N42*VLOOKUP('Données projet'!$B$9,Paramètres!$A$1:$I$89,3,0)*VLOOKUP('Données projet'!$B$9,Paramètres!$A$1:$I$89,5,0)</f>
        <v>148.20624000000001</v>
      </c>
      <c r="P42" s="14">
        <f t="shared" si="33"/>
        <v>38.170662245893794</v>
      </c>
      <c r="Q42" s="22">
        <f t="shared" si="53"/>
        <v>324.60643807826506</v>
      </c>
      <c r="R42" s="62">
        <f t="shared" si="0"/>
        <v>617.93977141159837</v>
      </c>
      <c r="S42" s="62">
        <f ca="1">AVERAGE(OFFSET($R$3,0,0,'Données projet'!$E$9+1,1))-AVERAGE(OFFSET($H$3,0,0,'Données projet'!$E$9+1,1))</f>
        <v>429.08375622925655</v>
      </c>
      <c r="T42" s="62">
        <f t="shared" si="34"/>
        <v>278.21741231699929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0.51593528398210109</v>
      </c>
      <c r="AC42" s="24">
        <f t="shared" si="3"/>
        <v>0.51593528398210109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11.2</v>
      </c>
      <c r="AI42" s="14">
        <f>IF('Données projet'!$A$62&gt;35,AI41+AH42-AQ41,IF(A42&lt;'Données projet'!$A$62,$AF$205^A42,IF(A42='Données projet'!$A$62,'Données projet'!$B$62,AI41+AH42-AQ41)))</f>
        <v>163.80000000000001</v>
      </c>
      <c r="AJ42" s="14">
        <f>AI42*VLOOKUP('Données projet'!$B$10,Paramètres!$A$1:$I$89,3,0)*VLOOKUP('Données projet'!$B$10,Paramètres!$A$1:$I$89,5,0)</f>
        <v>155.87208000000001</v>
      </c>
      <c r="AK42" s="14">
        <f t="shared" si="35"/>
        <v>39.910039898694805</v>
      </c>
      <c r="AL42" s="22">
        <f t="shared" si="4"/>
        <v>340.98719215689346</v>
      </c>
      <c r="AM42" s="62">
        <f t="shared" si="5"/>
        <v>634.32052549022683</v>
      </c>
      <c r="AN42" s="62">
        <f ca="1">AVERAGE(OFFSET($AM$3,0,0,'Données projet'!$E$10+1,1))-AVERAGE(OFFSET($H$3,0,0,'Données projet'!$E$10+1,1))</f>
        <v>449.16408464351673</v>
      </c>
      <c r="AO42" s="62">
        <f t="shared" si="36"/>
        <v>290.39826583283588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0.54262159177427904</v>
      </c>
      <c r="AX42" s="23">
        <f t="shared" si="6"/>
        <v>0.54262159177427904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11.2</v>
      </c>
      <c r="BD42" s="13">
        <f>IF('Données projet'!$A$88&gt;35,BD41+BC42-BL41,IF(A42&lt;'Données projet'!$A$88,$BA$205^A42,IF(A42='Données projet'!$A$88,'Données projet'!$B$88,BD41+BC42-BL41)))</f>
        <v>163.80000000000001</v>
      </c>
      <c r="BE42" s="14">
        <f>BD42*VLOOKUP('Données projet'!$B$11,Paramètres!$A$1:$I$89,3,0)*VLOOKUP('Données projet'!$B$11,Paramètres!$A$1:$I$89,5,0)</f>
        <v>158.42736000000002</v>
      </c>
      <c r="BF42" s="14">
        <f t="shared" si="37"/>
        <v>40.487598405868248</v>
      </c>
      <c r="BG42" s="22">
        <f t="shared" si="7"/>
        <v>346.4435525568872</v>
      </c>
      <c r="BH42" s="62">
        <f t="shared" si="8"/>
        <v>639.77688589022046</v>
      </c>
      <c r="BI42" s="62">
        <f ca="1">AVERAGE(OFFSET($BH$3,0,0,'Données projet'!$E$11+1,1))-AVERAGE(OFFSET($H$3,0,0,'Données projet'!$E$11+1,1))</f>
        <v>455.85294519779609</v>
      </c>
      <c r="BJ42" s="62">
        <f t="shared" si="38"/>
        <v>294.45557293177131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0.55151702770500477</v>
      </c>
      <c r="BS42" s="24">
        <f t="shared" si="9"/>
        <v>0.55151702770500477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12.4</v>
      </c>
      <c r="BY42" s="13">
        <f>IF('Données projet'!$A$114&gt;35,BY41+BX42-CG41,IF(A42&lt;'Données projet'!$A$114,$BV$205^A42,IF(A42='Données projet'!$A$114,'Données projet'!$B$114,BY41+BX42-CG41)))</f>
        <v>222.60000000000011</v>
      </c>
      <c r="BZ42" s="14">
        <f>BY42*VLOOKUP('Données projet'!$B$12,Paramètres!$A$1:$I$89,3,0)*VLOOKUP('Données projet'!$B$12,Paramètres!$A$1:$I$89,5,0)</f>
        <v>194.46336000000014</v>
      </c>
      <c r="CA42" s="14">
        <f t="shared" si="39"/>
        <v>48.525400894162686</v>
      </c>
      <c r="CB42" s="22">
        <f t="shared" si="10"/>
        <v>423.20542522400024</v>
      </c>
      <c r="CC42" s="62">
        <f t="shared" si="11"/>
        <v>716.53875855733349</v>
      </c>
      <c r="CD42" s="62">
        <f ca="1">AVERAGE(OFFSET($CC$3,0,0,'Données projet'!$E$12+1,1))-AVERAGE(OFFSET($H$3,0,0,'Données projet'!$E$12+1,1))</f>
        <v>304.32767345253382</v>
      </c>
      <c r="CE42" s="62">
        <f t="shared" si="40"/>
        <v>427.16091343339173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6.2</v>
      </c>
      <c r="CT42" s="13">
        <f>IF('Données projet'!$A$140&gt;35,CT41+CS42-DB41,IF(A42&lt;'Données projet'!$A$140,$CQ$205^A42,IF(A42='Données projet'!$A$140,'Données projet'!$B$140,CT41+CS42-DB41)))</f>
        <v>282.79999999999995</v>
      </c>
      <c r="CU42" s="18">
        <f>CT42*VLOOKUP('Données projet'!$B$13,Paramètres!$A$1:$I$89,3,0)*VLOOKUP('Données projet'!$B$13,Paramètres!$A$1:$I$89,5,0)</f>
        <v>255.87743999999998</v>
      </c>
      <c r="CV42" s="14">
        <f t="shared" si="41"/>
        <v>61.842798995505326</v>
      </c>
      <c r="CW42" s="22">
        <f t="shared" si="13"/>
        <v>553.36274958383854</v>
      </c>
      <c r="CX42" s="62">
        <f t="shared" si="14"/>
        <v>846.69608291717191</v>
      </c>
      <c r="CY42" s="62">
        <f ca="1">AVERAGE(OFFSET($CX$3,0,0,'Données projet'!$E$13+1,1))-AVERAGE(OFFSET($H$3,0,0,'Données projet'!$E$13+1,1))</f>
        <v>350.06545824795847</v>
      </c>
      <c r="CZ42" s="62">
        <f t="shared" si="42"/>
        <v>513.80016421153414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11.2</v>
      </c>
      <c r="DO42" s="13">
        <f>IF('Données projet'!$A$166&gt;35,DO41+DN42-DW41,IF(A42&lt;'Données projet'!$A$166,$DL$205^A42,IF(A42='Données projet'!$A$166,'Données projet'!$B$166,DO41+DN42-DW41)))</f>
        <v>163.80000000000001</v>
      </c>
      <c r="DP42" s="18">
        <f>DO42*VLOOKUP('Données projet'!$B$14,Paramètres!$A$1:$I$89,3,0)*VLOOKUP('Données projet'!$B$14,Paramètres!$A$1:$I$89,5,0)</f>
        <v>130.31928000000002</v>
      </c>
      <c r="DQ42" s="14">
        <f t="shared" si="43"/>
        <v>34.070125030168093</v>
      </c>
      <c r="DR42" s="22">
        <f t="shared" si="16"/>
        <v>286.3115470942094</v>
      </c>
      <c r="DS42" s="62">
        <f t="shared" si="17"/>
        <v>579.64488042754272</v>
      </c>
      <c r="DT42" s="62">
        <f ca="1">AVERAGE(OFFSET($DS$3,0,0,'Données projet'!$E$14+1,1))-AVERAGE(OFFSET($H$3,0,0,'Données projet'!$E$14+1,1))</f>
        <v>382.14353215900121</v>
      </c>
      <c r="DU42" s="62">
        <f t="shared" si="44"/>
        <v>249.73945975250177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0.45366723246702023</v>
      </c>
      <c r="ED42" s="24">
        <f t="shared" si="18"/>
        <v>0.45366723246702023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175</v>
      </c>
      <c r="L43" s="13">
        <f>VLOOKUP(A43,'Données projet'!$A$35:$I$55,9,0)</f>
        <v>11.2</v>
      </c>
      <c r="M43" s="13">
        <f t="array" ref="M43">INDEX(L:L,MIN(IF(ISNUMBER(L43:L239),ROW(L43:L239),"")))</f>
        <v>11.2</v>
      </c>
      <c r="N43" s="14">
        <f>IF('Données projet'!$A$36&gt;35,N42+M43-V42,IF(A43&lt;'Données projet'!$A$36,$K$205^A43,IF(A43='Données projet'!$A$36,'Données projet'!$B$36,N42+M43-V42)))</f>
        <v>175</v>
      </c>
      <c r="O43" s="14">
        <f>N43*VLOOKUP('Données projet'!$B$9,Paramètres!$A$1:$I$89,3,0)*VLOOKUP('Données projet'!$B$9,Paramètres!$A$1:$I$89,5,0)</f>
        <v>158.34</v>
      </c>
      <c r="P43" s="14">
        <f t="shared" si="33"/>
        <v>40.467870812652819</v>
      </c>
      <c r="Q43" s="22">
        <f t="shared" si="53"/>
        <v>346.25704166537031</v>
      </c>
      <c r="R43" s="62">
        <f t="shared" si="0"/>
        <v>639.59037499870362</v>
      </c>
      <c r="S43" s="62">
        <f ca="1">AVERAGE(OFFSET($R$3,0,0,'Données projet'!$E$9+1,1))-AVERAGE(OFFSET($H$3,0,0,'Données projet'!$E$9+1,1))</f>
        <v>429.08375622925655</v>
      </c>
      <c r="T43" s="62">
        <f t="shared" si="34"/>
        <v>278.21741231699929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28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0.36482133795715083</v>
      </c>
      <c r="AC43" s="24">
        <f t="shared" si="3"/>
        <v>0.36482133795715083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175</v>
      </c>
      <c r="AG43" s="13">
        <f>VLOOKUP(A43,'Données projet'!$A$61:$I$81,9,0)</f>
        <v>11.2</v>
      </c>
      <c r="AH43" s="13">
        <f t="array" ref="AH43">INDEX(AG:AG,MIN(IF(ISNUMBER(AG43:AG239),ROW(AG43:AG239),"")))</f>
        <v>11.2</v>
      </c>
      <c r="AI43" s="14">
        <f>IF('Données projet'!$A$62&gt;35,AI42+AH43-AQ42,IF(A43&lt;'Données projet'!$A$62,$AF$205^A43,IF(A43='Données projet'!$A$62,'Données projet'!$B$62,AI42+AH43-AQ42)))</f>
        <v>175</v>
      </c>
      <c r="AJ43" s="14">
        <f>AI43*VLOOKUP('Données projet'!$B$10,Paramètres!$A$1:$I$89,3,0)*VLOOKUP('Données projet'!$B$10,Paramètres!$A$1:$I$89,5,0)</f>
        <v>166.53</v>
      </c>
      <c r="AK43" s="14">
        <f t="shared" si="35"/>
        <v>42.311928683446922</v>
      </c>
      <c r="AL43" s="22">
        <f t="shared" si="4"/>
        <v>363.73302579033674</v>
      </c>
      <c r="AM43" s="62">
        <f t="shared" si="5"/>
        <v>657.06635912367005</v>
      </c>
      <c r="AN43" s="62">
        <f ca="1">AVERAGE(OFFSET($AM$3,0,0,'Données projet'!$E$10+1,1))-AVERAGE(OFFSET($H$3,0,0,'Données projet'!$E$10+1,1))</f>
        <v>449.16408464351673</v>
      </c>
      <c r="AO43" s="62">
        <f t="shared" si="36"/>
        <v>290.39826583283588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28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0.38369140716183125</v>
      </c>
      <c r="AX43" s="23">
        <f t="shared" si="6"/>
        <v>0.38369140716183125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175</v>
      </c>
      <c r="BB43" s="13">
        <f>VLOOKUP(A43,'Données projet'!$A$87:$I$107,9,0)</f>
        <v>11.2</v>
      </c>
      <c r="BC43" s="13">
        <f t="array" ref="BC43">INDEX(BB:BB,MIN(IF(ISNUMBER(BB43:BB239),ROW(BB43:BB239),"")))</f>
        <v>11.2</v>
      </c>
      <c r="BD43" s="13">
        <f>IF('Données projet'!$A$88&gt;35,BD42+BC43-BL42,IF(A43&lt;'Données projet'!$A$88,$BA$205^A43,IF(A43='Données projet'!$A$88,'Données projet'!$B$88,BD42+BC43-BL42)))</f>
        <v>175</v>
      </c>
      <c r="BE43" s="14">
        <f>BD43*VLOOKUP('Données projet'!$B$11,Paramètres!$A$1:$I$89,3,0)*VLOOKUP('Données projet'!$B$11,Paramètres!$A$1:$I$89,5,0)</f>
        <v>169.26000000000002</v>
      </c>
      <c r="BF43" s="14">
        <f t="shared" si="37"/>
        <v>42.924246146122272</v>
      </c>
      <c r="BG43" s="22">
        <f t="shared" si="7"/>
        <v>369.55422870449632</v>
      </c>
      <c r="BH43" s="62">
        <f t="shared" si="8"/>
        <v>662.88756203782964</v>
      </c>
      <c r="BI43" s="62">
        <f ca="1">AVERAGE(OFFSET($BH$3,0,0,'Données projet'!$E$11+1,1))-AVERAGE(OFFSET($H$3,0,0,'Données projet'!$E$11+1,1))</f>
        <v>455.85294519779609</v>
      </c>
      <c r="BJ43" s="62">
        <f t="shared" si="38"/>
        <v>294.45557293177131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28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0.38998143023005788</v>
      </c>
      <c r="BS43" s="24">
        <f t="shared" si="9"/>
        <v>0.38998143023005788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235</v>
      </c>
      <c r="BW43" s="13">
        <f>VLOOKUP(A43,'Données projet'!$A$113:$I$133,9,0)</f>
        <v>12.4</v>
      </c>
      <c r="BX43" s="13">
        <f t="array" ref="BX43">INDEX(BW:BW,MIN(IF(ISNUMBER(BW43:BW239),ROW(BW43:BW239),"")))</f>
        <v>12.4</v>
      </c>
      <c r="BY43" s="13">
        <f>IF('Données projet'!$A$114&gt;35,BY42+BX43-CG42,IF(A43&lt;'Données projet'!$A$114,$BV$205^A43,IF(A43='Données projet'!$A$114,'Données projet'!$B$114,BY42+BX43-CG42)))</f>
        <v>235.00000000000011</v>
      </c>
      <c r="BZ43" s="14">
        <f>BY43*VLOOKUP('Données projet'!$B$12,Paramètres!$A$1:$I$89,3,0)*VLOOKUP('Données projet'!$B$12,Paramètres!$A$1:$I$89,5,0)</f>
        <v>205.29600000000013</v>
      </c>
      <c r="CA43" s="14">
        <f t="shared" si="39"/>
        <v>50.906291934375396</v>
      </c>
      <c r="CB43" s="22">
        <f t="shared" si="10"/>
        <v>446.21899178570402</v>
      </c>
      <c r="CC43" s="62">
        <f t="shared" si="11"/>
        <v>739.55232511903728</v>
      </c>
      <c r="CD43" s="62">
        <f ca="1">AVERAGE(OFFSET($CC$3,0,0,'Données projet'!$E$12+1,1))-AVERAGE(OFFSET($H$3,0,0,'Données projet'!$E$12+1,1))</f>
        <v>304.32767345253382</v>
      </c>
      <c r="CE43" s="62">
        <f t="shared" si="40"/>
        <v>427.16091343339173</v>
      </c>
      <c r="CF43" s="16">
        <f>IF(ISNA(VLOOKUP(A43,'Données projet'!$A$113:$I$133,3,0)),0,VLOOKUP(A43,'Données projet'!$A$113:$I$133,3,0))</f>
        <v>6</v>
      </c>
      <c r="CG43" s="16">
        <f>IF(ISNA(VLOOKUP(A43,'Données projet'!$A$113:$I$133,4,0)),0,VLOOKUP(A43,'Données projet'!$A$113:$I$133,4,0))</f>
        <v>45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289</v>
      </c>
      <c r="CR43" s="13">
        <f>VLOOKUP(A43,'Données projet'!$A$139:$I$159,9,0)</f>
        <v>6.2</v>
      </c>
      <c r="CS43" s="13">
        <f t="array" ref="CS43">INDEX(CR:CR,MIN(IF(ISNUMBER(CR43:CR239),ROW(CR43:CR239),"")))</f>
        <v>6.2</v>
      </c>
      <c r="CT43" s="13">
        <f>IF('Données projet'!$A$140&gt;35,CT42+CS43-DB42,IF(A43&lt;'Données projet'!$A$140,$CQ$205^A43,IF(A43='Données projet'!$A$140,'Données projet'!$B$140,CT42+CS43-DB42)))</f>
        <v>288.99999999999994</v>
      </c>
      <c r="CU43" s="18">
        <f>CT43*VLOOKUP('Données projet'!$B$13,Paramètres!$A$1:$I$89,3,0)*VLOOKUP('Données projet'!$B$13,Paramètres!$A$1:$I$89,5,0)</f>
        <v>261.48719999999992</v>
      </c>
      <c r="CV43" s="14">
        <f t="shared" si="41"/>
        <v>63.039283586802391</v>
      </c>
      <c r="CW43" s="22">
        <f t="shared" si="13"/>
        <v>565.21695891368074</v>
      </c>
      <c r="CX43" s="62">
        <f t="shared" si="14"/>
        <v>858.55029224701411</v>
      </c>
      <c r="CY43" s="62">
        <f ca="1">AVERAGE(OFFSET($CX$3,0,0,'Données projet'!$E$13+1,1))-AVERAGE(OFFSET($H$3,0,0,'Données projet'!$E$13+1,1))</f>
        <v>350.06545824795847</v>
      </c>
      <c r="CZ43" s="62">
        <f t="shared" si="42"/>
        <v>513.80016421153414</v>
      </c>
      <c r="DA43" s="16">
        <f>IF(ISNA(VLOOKUP(A43,'Données projet'!$A$139:$I$159,3,0)),0,VLOOKUP(A43,'Données projet'!$A$139:$I$159,3,0))</f>
        <v>6</v>
      </c>
      <c r="DB43" s="16">
        <f>IF(ISNA(VLOOKUP(A43,'Données projet'!$A$139:$I$159,4,0)),0,VLOOKUP(A43,'Données projet'!$A$139:$I$159,4,0))</f>
        <v>7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175</v>
      </c>
      <c r="DM43" s="13">
        <f>VLOOKUP(A43,'Données projet'!$A$165:$I$185,9,0)</f>
        <v>11.2</v>
      </c>
      <c r="DN43" s="13">
        <f t="array" ref="DN43">INDEX(DM:DM,MIN(IF(ISNUMBER(DM43:DM239),ROW(DM43:DM239),"")))</f>
        <v>11.2</v>
      </c>
      <c r="DO43" s="13">
        <f>IF('Données projet'!$A$166&gt;35,DO42+DN43-DW42,IF(A43&lt;'Données projet'!$A$166,$DL$205^A43,IF(A43='Données projet'!$A$166,'Données projet'!$B$166,DO42+DN43-DW42)))</f>
        <v>175</v>
      </c>
      <c r="DP43" s="18">
        <f>DO43*VLOOKUP('Données projet'!$B$14,Paramètres!$A$1:$I$89,3,0)*VLOOKUP('Données projet'!$B$14,Paramètres!$A$1:$I$89,5,0)</f>
        <v>139.23000000000002</v>
      </c>
      <c r="DQ43" s="14">
        <f t="shared" si="43"/>
        <v>36.120552727378737</v>
      </c>
      <c r="DR43" s="22">
        <f t="shared" si="16"/>
        <v>305.40221266685131</v>
      </c>
      <c r="DS43" s="62">
        <f t="shared" si="17"/>
        <v>598.73554600018463</v>
      </c>
      <c r="DT43" s="62">
        <f ca="1">AVERAGE(OFFSET($DS$3,0,0,'Données projet'!$E$14+1,1))-AVERAGE(OFFSET($H$3,0,0,'Données projet'!$E$14+1,1))</f>
        <v>382.14353215900121</v>
      </c>
      <c r="DU43" s="62">
        <f t="shared" si="44"/>
        <v>249.73945975250177</v>
      </c>
      <c r="DV43" s="16">
        <f>IF(ISNA(VLOOKUP(A43,'Données projet'!$A$165:$I$185,3,0)),0,VLOOKUP(A43,'Données projet'!$A$165:$I$185,3,0))</f>
        <v>5</v>
      </c>
      <c r="DW43" s="16">
        <f>IF(ISNA(VLOOKUP(A43,'Données projet'!$A$165:$I$185,4,0)),0,VLOOKUP(A43,'Données projet'!$A$165:$I$185,4,0))</f>
        <v>28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0.3207911764795639</v>
      </c>
      <c r="ED43" s="24">
        <f t="shared" si="18"/>
        <v>0.3207911764795639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11.4</v>
      </c>
      <c r="N44" s="14">
        <f>IF('Données projet'!$A$36&gt;35,N43+M44-V43,IF(A44&lt;'Données projet'!$A$36,$K$205^A44,IF(A44='Données projet'!$A$36,'Données projet'!$B$36,N43+M44-V43)))</f>
        <v>158.4</v>
      </c>
      <c r="O44" s="14">
        <f>N44*VLOOKUP('Données projet'!$B$9,Paramètres!$A$1:$I$89,3,0)*VLOOKUP('Données projet'!$B$9,Paramètres!$A$1:$I$89,5,0)</f>
        <v>143.32032000000001</v>
      </c>
      <c r="P44" s="14">
        <f t="shared" si="33"/>
        <v>37.056603420232349</v>
      </c>
      <c r="Q44" s="22">
        <f t="shared" si="53"/>
        <v>314.15647495690467</v>
      </c>
      <c r="R44" s="62">
        <f t="shared" si="0"/>
        <v>607.48980829023799</v>
      </c>
      <c r="S44" s="62">
        <f ca="1">AVERAGE(OFFSET($R$3,0,0,'Données projet'!$E$9+1,1))-AVERAGE(OFFSET($H$3,0,0,'Données projet'!$E$9+1,1))</f>
        <v>429.08375622925655</v>
      </c>
      <c r="T44" s="62">
        <f t="shared" si="34"/>
        <v>278.21741231699929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0.25796764199105054</v>
      </c>
      <c r="AC44" s="24">
        <f t="shared" si="3"/>
        <v>0.25796764199105054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11.4</v>
      </c>
      <c r="AI44" s="14">
        <f>IF('Données projet'!$A$62&gt;35,AI43+AH44-AQ43,IF(A44&lt;'Données projet'!$A$62,$AF$205^A44,IF(A44='Données projet'!$A$62,'Données projet'!$B$62,AI43+AH44-AQ43)))</f>
        <v>158.4</v>
      </c>
      <c r="AJ44" s="14">
        <f>AI44*VLOOKUP('Données projet'!$B$10,Paramètres!$A$1:$I$89,3,0)*VLOOKUP('Données projet'!$B$10,Paramètres!$A$1:$I$89,5,0)</f>
        <v>150.73344</v>
      </c>
      <c r="AK44" s="14">
        <f t="shared" si="35"/>
        <v>38.745215146763087</v>
      </c>
      <c r="AL44" s="22">
        <f t="shared" si="4"/>
        <v>330.00865771394569</v>
      </c>
      <c r="AM44" s="62">
        <f t="shared" si="5"/>
        <v>623.34199104727895</v>
      </c>
      <c r="AN44" s="62">
        <f ca="1">AVERAGE(OFFSET($AM$3,0,0,'Données projet'!$E$10+1,1))-AVERAGE(OFFSET($H$3,0,0,'Données projet'!$E$10+1,1))</f>
        <v>449.16408464351673</v>
      </c>
      <c r="AO44" s="62">
        <f t="shared" si="36"/>
        <v>290.39826583283588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0.27131079588713952</v>
      </c>
      <c r="AX44" s="23">
        <f t="shared" si="6"/>
        <v>0.27131079588713952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11.4</v>
      </c>
      <c r="BD44" s="13">
        <f>IF('Données projet'!$A$88&gt;35,BD43+BC44-BL43,IF(A44&lt;'Données projet'!$A$88,$BA$205^A44,IF(A44='Données projet'!$A$88,'Données projet'!$B$88,BD43+BC44-BL43)))</f>
        <v>158.4</v>
      </c>
      <c r="BE44" s="14">
        <f>BD44*VLOOKUP('Données projet'!$B$11,Paramètres!$A$1:$I$89,3,0)*VLOOKUP('Données projet'!$B$11,Paramètres!$A$1:$I$89,5,0)</f>
        <v>153.20447999999999</v>
      </c>
      <c r="BF44" s="14">
        <f t="shared" si="37"/>
        <v>39.305916881892401</v>
      </c>
      <c r="BG44" s="22">
        <f t="shared" si="7"/>
        <v>335.28894123596257</v>
      </c>
      <c r="BH44" s="62">
        <f t="shared" si="8"/>
        <v>628.62227456929588</v>
      </c>
      <c r="BI44" s="62">
        <f ca="1">AVERAGE(OFFSET($BH$3,0,0,'Données projet'!$E$11+1,1))-AVERAGE(OFFSET($H$3,0,0,'Données projet'!$E$11+1,1))</f>
        <v>455.85294519779609</v>
      </c>
      <c r="BJ44" s="62">
        <f t="shared" si="38"/>
        <v>294.45557293177131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0.27575851385250238</v>
      </c>
      <c r="BS44" s="24">
        <f t="shared" si="9"/>
        <v>0.27575851385250238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11</v>
      </c>
      <c r="BY44" s="13">
        <f>IF('Données projet'!$A$114&gt;35,BY43+BX44-CG43,IF(A44&lt;'Données projet'!$A$114,$BV$205^A44,IF(A44='Données projet'!$A$114,'Données projet'!$B$114,BY43+BX44-CG43)))</f>
        <v>201.00000000000011</v>
      </c>
      <c r="BZ44" s="14">
        <f>BY44*VLOOKUP('Données projet'!$B$12,Paramètres!$A$1:$I$89,3,0)*VLOOKUP('Données projet'!$B$12,Paramètres!$A$1:$I$89,5,0)</f>
        <v>175.59360000000012</v>
      </c>
      <c r="CA44" s="14">
        <f t="shared" si="39"/>
        <v>44.340433728638573</v>
      </c>
      <c r="CB44" s="22">
        <f t="shared" si="10"/>
        <v>383.05177541071242</v>
      </c>
      <c r="CC44" s="62">
        <f t="shared" si="11"/>
        <v>676.38510874404574</v>
      </c>
      <c r="CD44" s="62">
        <f ca="1">AVERAGE(OFFSET($CC$3,0,0,'Données projet'!$E$12+1,1))-AVERAGE(OFFSET($H$3,0,0,'Données projet'!$E$12+1,1))</f>
        <v>304.32767345253382</v>
      </c>
      <c r="CE44" s="62">
        <f t="shared" si="40"/>
        <v>427.16091343339173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6</v>
      </c>
      <c r="CT44" s="13">
        <f>IF('Données projet'!$A$140&gt;35,CT43+CS44-DB43,IF(A44&lt;'Données projet'!$A$140,$CQ$205^A44,IF(A44='Données projet'!$A$140,'Données projet'!$B$140,CT43+CS44-DB43)))</f>
        <v>287.99999999999994</v>
      </c>
      <c r="CU44" s="18">
        <f>CT44*VLOOKUP('Données projet'!$B$13,Paramètres!$A$1:$I$89,3,0)*VLOOKUP('Données projet'!$B$13,Paramètres!$A$1:$I$89,5,0)</f>
        <v>260.58239999999995</v>
      </c>
      <c r="CV44" s="14">
        <f t="shared" si="41"/>
        <v>62.846505929896907</v>
      </c>
      <c r="CW44" s="22">
        <f t="shared" si="13"/>
        <v>563.30534449457025</v>
      </c>
      <c r="CX44" s="62">
        <f t="shared" si="14"/>
        <v>856.63867782790362</v>
      </c>
      <c r="CY44" s="62">
        <f ca="1">AVERAGE(OFFSET($CX$3,0,0,'Données projet'!$E$13+1,1))-AVERAGE(OFFSET($H$3,0,0,'Données projet'!$E$13+1,1))</f>
        <v>350.06545824795847</v>
      </c>
      <c r="CZ44" s="62">
        <f t="shared" si="42"/>
        <v>513.80016421153414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11.4</v>
      </c>
      <c r="DO44" s="13">
        <f>IF('Données projet'!$A$166&gt;35,DO43+DN44-DW43,IF(A44&lt;'Données projet'!$A$166,$DL$205^A44,IF(A44='Données projet'!$A$166,'Données projet'!$B$166,DO43+DN44-DW43)))</f>
        <v>158.4</v>
      </c>
      <c r="DP44" s="18">
        <f>DO44*VLOOKUP('Données projet'!$B$14,Paramètres!$A$1:$I$89,3,0)*VLOOKUP('Données projet'!$B$14,Paramètres!$A$1:$I$89,5,0)</f>
        <v>126.02304000000001</v>
      </c>
      <c r="DQ44" s="14">
        <f t="shared" si="43"/>
        <v>33.075745544773369</v>
      </c>
      <c r="DR44" s="22">
        <f t="shared" si="16"/>
        <v>277.09705149048028</v>
      </c>
      <c r="DS44" s="62">
        <f t="shared" si="17"/>
        <v>570.4303848238136</v>
      </c>
      <c r="DT44" s="62">
        <f ca="1">AVERAGE(OFFSET($DS$3,0,0,'Données projet'!$E$14+1,1))-AVERAGE(OFFSET($H$3,0,0,'Données projet'!$E$14+1,1))</f>
        <v>382.14353215900121</v>
      </c>
      <c r="DU44" s="62">
        <f t="shared" si="44"/>
        <v>249.73945975250177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0.22683361623351014</v>
      </c>
      <c r="ED44" s="24">
        <f t="shared" si="18"/>
        <v>0.22683361623351014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11.4</v>
      </c>
      <c r="N45" s="14">
        <f>IF('Données projet'!$A$36&gt;35,N44+M45-V44,IF(A45&lt;'Données projet'!$A$36,$K$205^A45,IF(A45='Données projet'!$A$36,'Données projet'!$B$36,N44+M45-V44)))</f>
        <v>169.8</v>
      </c>
      <c r="O45" s="14">
        <f>N45*VLOOKUP('Données projet'!$B$9,Paramètres!$A$1:$I$89,3,0)*VLOOKUP('Données projet'!$B$9,Paramètres!$A$1:$I$89,5,0)</f>
        <v>153.63504</v>
      </c>
      <c r="P45" s="14">
        <f t="shared" si="33"/>
        <v>39.403506785222667</v>
      </c>
      <c r="Q45" s="22">
        <f t="shared" si="53"/>
        <v>336.20880231759617</v>
      </c>
      <c r="R45" s="62">
        <f t="shared" si="0"/>
        <v>629.54213565092948</v>
      </c>
      <c r="S45" s="62">
        <f ca="1">AVERAGE(OFFSET($R$3,0,0,'Données projet'!$E$9+1,1))-AVERAGE(OFFSET($H$3,0,0,'Données projet'!$E$9+1,1))</f>
        <v>429.08375622925655</v>
      </c>
      <c r="T45" s="62">
        <f t="shared" si="34"/>
        <v>278.21741231699929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0.18241066897857541</v>
      </c>
      <c r="AC45" s="24">
        <f t="shared" si="3"/>
        <v>0.18241066897857541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11.4</v>
      </c>
      <c r="AI45" s="14">
        <f>IF('Données projet'!$A$62&gt;35,AI44+AH45-AQ44,IF(A45&lt;'Données projet'!$A$62,$AF$205^A45,IF(A45='Données projet'!$A$62,'Données projet'!$B$62,AI44+AH45-AQ44)))</f>
        <v>169.8</v>
      </c>
      <c r="AJ45" s="14">
        <f>AI45*VLOOKUP('Données projet'!$B$10,Paramètres!$A$1:$I$89,3,0)*VLOOKUP('Données projet'!$B$10,Paramètres!$A$1:$I$89,5,0)</f>
        <v>161.58168000000001</v>
      </c>
      <c r="AK45" s="14">
        <f t="shared" si="35"/>
        <v>41.199063244334951</v>
      </c>
      <c r="AL45" s="22">
        <f t="shared" si="4"/>
        <v>353.17646115055004</v>
      </c>
      <c r="AM45" s="62">
        <f t="shared" si="5"/>
        <v>646.5097944838833</v>
      </c>
      <c r="AN45" s="62">
        <f ca="1">AVERAGE(OFFSET($AM$3,0,0,'Données projet'!$E$10+1,1))-AVERAGE(OFFSET($H$3,0,0,'Données projet'!$E$10+1,1))</f>
        <v>449.16408464351673</v>
      </c>
      <c r="AO45" s="62">
        <f t="shared" si="36"/>
        <v>290.39826583283588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0.19184570358091563</v>
      </c>
      <c r="AX45" s="23">
        <f t="shared" si="6"/>
        <v>0.19184570358091563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11.4</v>
      </c>
      <c r="BD45" s="13">
        <f>IF('Données projet'!$A$88&gt;35,BD44+BC45-BL44,IF(A45&lt;'Données projet'!$A$88,$BA$205^A45,IF(A45='Données projet'!$A$88,'Données projet'!$B$88,BD44+BC45-BL44)))</f>
        <v>169.8</v>
      </c>
      <c r="BE45" s="14">
        <f>BD45*VLOOKUP('Données projet'!$B$11,Paramètres!$A$1:$I$89,3,0)*VLOOKUP('Données projet'!$B$11,Paramètres!$A$1:$I$89,5,0)</f>
        <v>164.23056000000003</v>
      </c>
      <c r="BF45" s="14">
        <f t="shared" si="37"/>
        <v>41.795275864636551</v>
      </c>
      <c r="BG45" s="22">
        <f t="shared" si="7"/>
        <v>358.82833079757535</v>
      </c>
      <c r="BH45" s="62">
        <f t="shared" si="8"/>
        <v>652.16166413090866</v>
      </c>
      <c r="BI45" s="62">
        <f ca="1">AVERAGE(OFFSET($BH$3,0,0,'Données projet'!$E$11+1,1))-AVERAGE(OFFSET($H$3,0,0,'Données projet'!$E$11+1,1))</f>
        <v>455.85294519779609</v>
      </c>
      <c r="BJ45" s="62">
        <f t="shared" si="38"/>
        <v>294.45557293177131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0.19499071511502894</v>
      </c>
      <c r="BS45" s="24">
        <f t="shared" si="9"/>
        <v>0.19499071511502894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11</v>
      </c>
      <c r="BY45" s="13">
        <f>IF('Données projet'!$A$114&gt;35,BY44+BX45-CG44,IF(A45&lt;'Données projet'!$A$114,$BV$205^A45,IF(A45='Données projet'!$A$114,'Données projet'!$B$114,BY44+BX45-CG44)))</f>
        <v>212.00000000000011</v>
      </c>
      <c r="BZ45" s="14">
        <f>BY45*VLOOKUP('Données projet'!$B$12,Paramètres!$A$1:$I$89,3,0)*VLOOKUP('Données projet'!$B$12,Paramètres!$A$1:$I$89,5,0)</f>
        <v>185.20320000000012</v>
      </c>
      <c r="CA45" s="14">
        <f t="shared" si="39"/>
        <v>46.477875402099386</v>
      </c>
      <c r="CB45" s="22">
        <f t="shared" si="10"/>
        <v>403.51120632532326</v>
      </c>
      <c r="CC45" s="62">
        <f t="shared" si="11"/>
        <v>696.84453965865657</v>
      </c>
      <c r="CD45" s="62">
        <f ca="1">AVERAGE(OFFSET($CC$3,0,0,'Données projet'!$E$12+1,1))-AVERAGE(OFFSET($H$3,0,0,'Données projet'!$E$12+1,1))</f>
        <v>304.32767345253382</v>
      </c>
      <c r="CE45" s="62">
        <f t="shared" si="40"/>
        <v>427.16091343339173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6</v>
      </c>
      <c r="CT45" s="13">
        <f>IF('Données projet'!$A$140&gt;35,CT44+CS45-DB44,IF(A45&lt;'Données projet'!$A$140,$CQ$205^A45,IF(A45='Données projet'!$A$140,'Données projet'!$B$140,CT44+CS45-DB44)))</f>
        <v>293.99999999999994</v>
      </c>
      <c r="CU45" s="18">
        <f>CT45*VLOOKUP('Données projet'!$B$13,Paramètres!$A$1:$I$89,3,0)*VLOOKUP('Données projet'!$B$13,Paramètres!$A$1:$I$89,5,0)</f>
        <v>266.01119999999992</v>
      </c>
      <c r="CV45" s="14">
        <f t="shared" si="41"/>
        <v>64.00201337612566</v>
      </c>
      <c r="CW45" s="22">
        <f t="shared" si="13"/>
        <v>574.77301329675208</v>
      </c>
      <c r="CX45" s="62">
        <f t="shared" si="14"/>
        <v>868.10634663008545</v>
      </c>
      <c r="CY45" s="62">
        <f ca="1">AVERAGE(OFFSET($CX$3,0,0,'Données projet'!$E$13+1,1))-AVERAGE(OFFSET($H$3,0,0,'Données projet'!$E$13+1,1))</f>
        <v>350.06545824795847</v>
      </c>
      <c r="CZ45" s="62">
        <f t="shared" si="42"/>
        <v>513.80016421153414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11.4</v>
      </c>
      <c r="DO45" s="13">
        <f>IF('Données projet'!$A$166&gt;35,DO44+DN45-DW44,IF(A45&lt;'Données projet'!$A$166,$DL$205^A45,IF(A45='Données projet'!$A$166,'Données projet'!$B$166,DO44+DN45-DW44)))</f>
        <v>169.8</v>
      </c>
      <c r="DP45" s="18">
        <f>DO45*VLOOKUP('Données projet'!$B$14,Paramètres!$A$1:$I$89,3,0)*VLOOKUP('Données projet'!$B$14,Paramètres!$A$1:$I$89,5,0)</f>
        <v>135.09288000000004</v>
      </c>
      <c r="DQ45" s="14">
        <f t="shared" si="43"/>
        <v>35.170529506441312</v>
      </c>
      <c r="DR45" s="22">
        <f t="shared" si="16"/>
        <v>296.5421048903853</v>
      </c>
      <c r="DS45" s="62">
        <f t="shared" si="17"/>
        <v>589.87543822371867</v>
      </c>
      <c r="DT45" s="62">
        <f ca="1">AVERAGE(OFFSET($DS$3,0,0,'Données projet'!$E$14+1,1))-AVERAGE(OFFSET($H$3,0,0,'Données projet'!$E$14+1,1))</f>
        <v>382.14353215900121</v>
      </c>
      <c r="DU45" s="62">
        <f t="shared" si="44"/>
        <v>249.73945975250177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0.16039558823978195</v>
      </c>
      <c r="ED45" s="24">
        <f t="shared" si="18"/>
        <v>0.16039558823978195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11.4</v>
      </c>
      <c r="N46" s="14">
        <f>IF('Données projet'!$A$36&gt;35,N45+M46-V45,IF(A46&lt;'Données projet'!$A$36,$K$205^A46,IF(A46='Données projet'!$A$36,'Données projet'!$B$36,N45+M46-V45)))</f>
        <v>181.20000000000002</v>
      </c>
      <c r="O46" s="14">
        <f>N46*VLOOKUP('Données projet'!$B$9,Paramètres!$A$1:$I$89,3,0)*VLOOKUP('Données projet'!$B$9,Paramètres!$A$1:$I$89,5,0)</f>
        <v>163.94976</v>
      </c>
      <c r="P46" s="14">
        <f t="shared" si="33"/>
        <v>41.732126457893308</v>
      </c>
      <c r="Q46" s="22">
        <f t="shared" si="53"/>
        <v>358.22928558083089</v>
      </c>
      <c r="R46" s="62">
        <f t="shared" si="0"/>
        <v>651.5626189141642</v>
      </c>
      <c r="S46" s="62">
        <f ca="1">AVERAGE(OFFSET($R$3,0,0,'Données projet'!$E$9+1,1))-AVERAGE(OFFSET($H$3,0,0,'Données projet'!$E$9+1,1))</f>
        <v>429.08375622925655</v>
      </c>
      <c r="T46" s="62">
        <f t="shared" si="34"/>
        <v>278.21741231699929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0.12898382099552527</v>
      </c>
      <c r="AC46" s="24">
        <f t="shared" si="3"/>
        <v>0.12898382099552527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11.4</v>
      </c>
      <c r="AI46" s="14">
        <f>IF('Données projet'!$A$62&gt;35,AI45+AH46-AQ45,IF(A46&lt;'Données projet'!$A$62,$AF$205^A46,IF(A46='Données projet'!$A$62,'Données projet'!$B$62,AI45+AH46-AQ45)))</f>
        <v>181.20000000000002</v>
      </c>
      <c r="AJ46" s="14">
        <f>AI46*VLOOKUP('Données projet'!$B$10,Paramètres!$A$1:$I$89,3,0)*VLOOKUP('Données projet'!$B$10,Paramètres!$A$1:$I$89,5,0)</f>
        <v>172.42992000000001</v>
      </c>
      <c r="AK46" s="14">
        <f t="shared" si="35"/>
        <v>43.633794490192969</v>
      </c>
      <c r="AL46" s="22">
        <f t="shared" si="4"/>
        <v>376.31096940375278</v>
      </c>
      <c r="AM46" s="62">
        <f t="shared" si="5"/>
        <v>669.64430273708604</v>
      </c>
      <c r="AN46" s="62">
        <f ca="1">AVERAGE(OFFSET($AM$3,0,0,'Données projet'!$E$10+1,1))-AVERAGE(OFFSET($H$3,0,0,'Données projet'!$E$10+1,1))</f>
        <v>449.16408464351673</v>
      </c>
      <c r="AO46" s="62">
        <f t="shared" si="36"/>
        <v>290.39826583283588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0.13565539794356976</v>
      </c>
      <c r="AX46" s="23">
        <f t="shared" si="6"/>
        <v>0.13565539794356976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11.4</v>
      </c>
      <c r="BD46" s="13">
        <f>IF('Données projet'!$A$88&gt;35,BD45+BC46-BL45,IF(A46&lt;'Données projet'!$A$88,$BA$205^A46,IF(A46='Données projet'!$A$88,'Données projet'!$B$88,BD45+BC46-BL45)))</f>
        <v>181.20000000000002</v>
      </c>
      <c r="BE46" s="14">
        <f>BD46*VLOOKUP('Données projet'!$B$11,Paramètres!$A$1:$I$89,3,0)*VLOOKUP('Données projet'!$B$11,Paramètres!$A$1:$I$89,5,0)</f>
        <v>175.25664000000003</v>
      </c>
      <c r="BF46" s="14">
        <f t="shared" si="37"/>
        <v>44.265241345972555</v>
      </c>
      <c r="BG46" s="22">
        <f t="shared" si="7"/>
        <v>382.33394334423559</v>
      </c>
      <c r="BH46" s="62">
        <f t="shared" si="8"/>
        <v>675.66727667756891</v>
      </c>
      <c r="BI46" s="62">
        <f ca="1">AVERAGE(OFFSET($BH$3,0,0,'Données projet'!$E$11+1,1))-AVERAGE(OFFSET($H$3,0,0,'Données projet'!$E$11+1,1))</f>
        <v>455.85294519779609</v>
      </c>
      <c r="BJ46" s="62">
        <f t="shared" si="38"/>
        <v>294.45557293177131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0.13787925692625119</v>
      </c>
      <c r="BS46" s="24">
        <f t="shared" si="9"/>
        <v>0.13787925692625119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11</v>
      </c>
      <c r="BY46" s="13">
        <f>IF('Données projet'!$A$114&gt;35,BY45+BX46-CG45,IF(A46&lt;'Données projet'!$A$114,$BV$205^A46,IF(A46='Données projet'!$A$114,'Données projet'!$B$114,BY45+BX46-CG45)))</f>
        <v>223.00000000000011</v>
      </c>
      <c r="BZ46" s="14">
        <f>BY46*VLOOKUP('Données projet'!$B$12,Paramètres!$A$1:$I$89,3,0)*VLOOKUP('Données projet'!$B$12,Paramètres!$A$1:$I$89,5,0)</f>
        <v>194.81280000000012</v>
      </c>
      <c r="CA46" s="14">
        <f t="shared" si="39"/>
        <v>48.602440540253902</v>
      </c>
      <c r="CB46" s="22">
        <f t="shared" si="10"/>
        <v>423.9482106076091</v>
      </c>
      <c r="CC46" s="62">
        <f t="shared" si="11"/>
        <v>717.28154394094236</v>
      </c>
      <c r="CD46" s="62">
        <f ca="1">AVERAGE(OFFSET($CC$3,0,0,'Données projet'!$E$12+1,1))-AVERAGE(OFFSET($H$3,0,0,'Données projet'!$E$12+1,1))</f>
        <v>304.32767345253382</v>
      </c>
      <c r="CE46" s="62">
        <f t="shared" si="40"/>
        <v>427.16091343339173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6</v>
      </c>
      <c r="CT46" s="13">
        <f>IF('Données projet'!$A$140&gt;35,CT45+CS46-DB45,IF(A46&lt;'Données projet'!$A$140,$CQ$205^A46,IF(A46='Données projet'!$A$140,'Données projet'!$B$140,CT45+CS46-DB45)))</f>
        <v>299.99999999999994</v>
      </c>
      <c r="CU46" s="18">
        <f>CT46*VLOOKUP('Données projet'!$B$13,Paramètres!$A$1:$I$89,3,0)*VLOOKUP('Données projet'!$B$13,Paramètres!$A$1:$I$89,5,0)</f>
        <v>271.43999999999994</v>
      </c>
      <c r="CV46" s="14">
        <f t="shared" si="41"/>
        <v>65.154778959151173</v>
      </c>
      <c r="CW46" s="22">
        <f t="shared" si="13"/>
        <v>586.23590668718805</v>
      </c>
      <c r="CX46" s="62">
        <f t="shared" si="14"/>
        <v>879.56924002052142</v>
      </c>
      <c r="CY46" s="62">
        <f ca="1">AVERAGE(OFFSET($CX$3,0,0,'Données projet'!$E$13+1,1))-AVERAGE(OFFSET($H$3,0,0,'Données projet'!$E$13+1,1))</f>
        <v>350.06545824795847</v>
      </c>
      <c r="CZ46" s="62">
        <f t="shared" si="42"/>
        <v>513.80016421153414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11.4</v>
      </c>
      <c r="DO46" s="13">
        <f>IF('Données projet'!$A$166&gt;35,DO45+DN46-DW45,IF(A46&lt;'Données projet'!$A$166,$DL$205^A46,IF(A46='Données projet'!$A$166,'Données projet'!$B$166,DO45+DN46-DW45)))</f>
        <v>181.20000000000002</v>
      </c>
      <c r="DP46" s="18">
        <f>DO46*VLOOKUP('Données projet'!$B$14,Paramètres!$A$1:$I$89,3,0)*VLOOKUP('Données projet'!$B$14,Paramètres!$A$1:$I$89,5,0)</f>
        <v>144.16272000000001</v>
      </c>
      <c r="DQ46" s="14">
        <f t="shared" si="43"/>
        <v>37.248993927218613</v>
      </c>
      <c r="DR46" s="22">
        <f t="shared" si="16"/>
        <v>315.9587350899057</v>
      </c>
      <c r="DS46" s="62">
        <f t="shared" si="17"/>
        <v>609.29206842323902</v>
      </c>
      <c r="DT46" s="62">
        <f ca="1">AVERAGE(OFFSET($DS$3,0,0,'Données projet'!$E$14+1,1))-AVERAGE(OFFSET($H$3,0,0,'Données projet'!$E$14+1,1))</f>
        <v>382.14353215900121</v>
      </c>
      <c r="DU46" s="62">
        <f t="shared" si="44"/>
        <v>249.73945975250177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0.11341680811675507</v>
      </c>
      <c r="ED46" s="24">
        <f t="shared" si="18"/>
        <v>0.11341680811675507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11.4</v>
      </c>
      <c r="N47" s="14">
        <f>IF('Données projet'!$A$36&gt;35,N46+M47-V46,IF(A47&lt;'Données projet'!$A$36,$K$205^A47,IF(A47='Données projet'!$A$36,'Données projet'!$B$36,N46+M47-V46)))</f>
        <v>192.60000000000002</v>
      </c>
      <c r="O47" s="14">
        <f>N47*VLOOKUP('Données projet'!$B$9,Paramètres!$A$1:$I$89,3,0)*VLOOKUP('Données projet'!$B$9,Paramètres!$A$1:$I$89,5,0)</f>
        <v>174.26447999999999</v>
      </c>
      <c r="P47" s="14">
        <f t="shared" si="33"/>
        <v>44.043743683739521</v>
      </c>
      <c r="Q47" s="22">
        <f t="shared" si="53"/>
        <v>380.22015624917964</v>
      </c>
      <c r="R47" s="62">
        <f t="shared" si="0"/>
        <v>673.55348958251295</v>
      </c>
      <c r="S47" s="62">
        <f ca="1">AVERAGE(OFFSET($R$3,0,0,'Données projet'!$E$9+1,1))-AVERAGE(OFFSET($H$3,0,0,'Données projet'!$E$9+1,1))</f>
        <v>429.08375622925655</v>
      </c>
      <c r="T47" s="62">
        <f t="shared" si="34"/>
        <v>278.21741231699929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9.1205334489287707E-2</v>
      </c>
      <c r="AC47" s="24">
        <f t="shared" si="3"/>
        <v>9.1205334489287707E-2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11.4</v>
      </c>
      <c r="AI47" s="14">
        <f>IF('Données projet'!$A$62&gt;35,AI46+AH47-AQ46,IF(A47&lt;'Données projet'!$A$62,$AF$205^A47,IF(A47='Données projet'!$A$62,'Données projet'!$B$62,AI46+AH47-AQ46)))</f>
        <v>192.60000000000002</v>
      </c>
      <c r="AJ47" s="14">
        <f>AI47*VLOOKUP('Données projet'!$B$10,Paramètres!$A$1:$I$89,3,0)*VLOOKUP('Données projet'!$B$10,Paramètres!$A$1:$I$89,5,0)</f>
        <v>183.27816000000001</v>
      </c>
      <c r="AK47" s="14">
        <f t="shared" si="35"/>
        <v>46.050748514194922</v>
      </c>
      <c r="AL47" s="22">
        <f t="shared" si="4"/>
        <v>399.41451566222281</v>
      </c>
      <c r="AM47" s="62">
        <f t="shared" si="5"/>
        <v>692.74784899555607</v>
      </c>
      <c r="AN47" s="62">
        <f ca="1">AVERAGE(OFFSET($AM$3,0,0,'Données projet'!$E$10+1,1))-AVERAGE(OFFSET($H$3,0,0,'Données projet'!$E$10+1,1))</f>
        <v>449.16408464351673</v>
      </c>
      <c r="AO47" s="62">
        <f t="shared" si="36"/>
        <v>290.39826583283588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9.5922851790457814E-2</v>
      </c>
      <c r="AX47" s="23">
        <f t="shared" si="6"/>
        <v>9.5922851790457814E-2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11.4</v>
      </c>
      <c r="BD47" s="13">
        <f>IF('Données projet'!$A$88&gt;35,BD46+BC47-BL46,IF(A47&lt;'Données projet'!$A$88,$BA$205^A47,IF(A47='Données projet'!$A$88,'Données projet'!$B$88,BD46+BC47-BL46)))</f>
        <v>192.60000000000002</v>
      </c>
      <c r="BE47" s="14">
        <f>BD47*VLOOKUP('Données projet'!$B$11,Paramètres!$A$1:$I$89,3,0)*VLOOKUP('Données projet'!$B$11,Paramètres!$A$1:$I$89,5,0)</f>
        <v>186.28272000000001</v>
      </c>
      <c r="BF47" s="14">
        <f t="shared" si="37"/>
        <v>46.717172342223918</v>
      </c>
      <c r="BG47" s="22">
        <f t="shared" si="7"/>
        <v>405.80814582937325</v>
      </c>
      <c r="BH47" s="62">
        <f t="shared" si="8"/>
        <v>699.14147916270656</v>
      </c>
      <c r="BI47" s="62">
        <f ca="1">AVERAGE(OFFSET($BH$3,0,0,'Données projet'!$E$11+1,1))-AVERAGE(OFFSET($H$3,0,0,'Données projet'!$E$11+1,1))</f>
        <v>455.85294519779609</v>
      </c>
      <c r="BJ47" s="62">
        <f t="shared" si="38"/>
        <v>294.45557293177131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9.749535755751447E-2</v>
      </c>
      <c r="BS47" s="24">
        <f t="shared" si="9"/>
        <v>9.749535755751447E-2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11</v>
      </c>
      <c r="BY47" s="13">
        <f>IF('Données projet'!$A$114&gt;35,BY46+BX47-CG46,IF(A47&lt;'Données projet'!$A$114,$BV$205^A47,IF(A47='Données projet'!$A$114,'Données projet'!$B$114,BY46+BX47-CG46)))</f>
        <v>234.00000000000011</v>
      </c>
      <c r="BZ47" s="14">
        <f>BY47*VLOOKUP('Données projet'!$B$12,Paramètres!$A$1:$I$89,3,0)*VLOOKUP('Données projet'!$B$12,Paramètres!$A$1:$I$89,5,0)</f>
        <v>204.42240000000012</v>
      </c>
      <c r="CA47" s="14">
        <f t="shared" si="39"/>
        <v>50.714836797527312</v>
      </c>
      <c r="CB47" s="22">
        <f t="shared" si="10"/>
        <v>444.36402075569362</v>
      </c>
      <c r="CC47" s="62">
        <f t="shared" si="11"/>
        <v>737.69735408902693</v>
      </c>
      <c r="CD47" s="62">
        <f ca="1">AVERAGE(OFFSET($CC$3,0,0,'Données projet'!$E$12+1,1))-AVERAGE(OFFSET($H$3,0,0,'Données projet'!$E$12+1,1))</f>
        <v>304.32767345253382</v>
      </c>
      <c r="CE47" s="62">
        <f t="shared" si="40"/>
        <v>427.16091343339173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6</v>
      </c>
      <c r="CT47" s="13">
        <f>IF('Données projet'!$A$140&gt;35,CT46+CS47-DB46,IF(A47&lt;'Données projet'!$A$140,$CQ$205^A47,IF(A47='Données projet'!$A$140,'Données projet'!$B$140,CT46+CS47-DB46)))</f>
        <v>305.99999999999994</v>
      </c>
      <c r="CU47" s="18">
        <f>CT47*VLOOKUP('Données projet'!$B$13,Paramètres!$A$1:$I$89,3,0)*VLOOKUP('Données projet'!$B$13,Paramètres!$A$1:$I$89,5,0)</f>
        <v>276.86879999999996</v>
      </c>
      <c r="CV47" s="14">
        <f t="shared" si="41"/>
        <v>66.30486383631866</v>
      </c>
      <c r="CW47" s="22">
        <f t="shared" si="13"/>
        <v>597.6941311815882</v>
      </c>
      <c r="CX47" s="62">
        <f t="shared" si="14"/>
        <v>891.02746451492158</v>
      </c>
      <c r="CY47" s="62">
        <f ca="1">AVERAGE(OFFSET($CX$3,0,0,'Données projet'!$E$13+1,1))-AVERAGE(OFFSET($H$3,0,0,'Données projet'!$E$13+1,1))</f>
        <v>350.06545824795847</v>
      </c>
      <c r="CZ47" s="62">
        <f t="shared" si="42"/>
        <v>513.80016421153414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11.4</v>
      </c>
      <c r="DO47" s="13">
        <f>IF('Données projet'!$A$166&gt;35,DO46+DN47-DW46,IF(A47&lt;'Données projet'!$A$166,$DL$205^A47,IF(A47='Données projet'!$A$166,'Données projet'!$B$166,DO46+DN47-DW46)))</f>
        <v>192.60000000000002</v>
      </c>
      <c r="DP47" s="18">
        <f>DO47*VLOOKUP('Données projet'!$B$14,Paramètres!$A$1:$I$89,3,0)*VLOOKUP('Données projet'!$B$14,Paramètres!$A$1:$I$89,5,0)</f>
        <v>153.23256000000003</v>
      </c>
      <c r="DQ47" s="14">
        <f t="shared" si="43"/>
        <v>39.312282412996574</v>
      </c>
      <c r="DR47" s="22">
        <f t="shared" si="16"/>
        <v>335.34893386930241</v>
      </c>
      <c r="DS47" s="62">
        <f t="shared" si="17"/>
        <v>628.68226720263578</v>
      </c>
      <c r="DT47" s="62">
        <f ca="1">AVERAGE(OFFSET($DS$3,0,0,'Données projet'!$E$14+1,1))-AVERAGE(OFFSET($H$3,0,0,'Données projet'!$E$14+1,1))</f>
        <v>382.14353215900121</v>
      </c>
      <c r="DU47" s="62">
        <f t="shared" si="44"/>
        <v>249.73945975250177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8.0197794119890975E-2</v>
      </c>
      <c r="ED47" s="24">
        <f t="shared" si="18"/>
        <v>8.0197794119890975E-2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204</v>
      </c>
      <c r="L48" s="13">
        <f>VLOOKUP(A48,'Données projet'!$A$35:$I$55,9,0)</f>
        <v>11.4</v>
      </c>
      <c r="M48" s="13">
        <f t="array" ref="M48">INDEX(L:L,MIN(IF(ISNUMBER(L48:L244),ROW(L48:L244),"")))</f>
        <v>11.4</v>
      </c>
      <c r="N48" s="14">
        <f>IF('Données projet'!$A$36&gt;35,N47+M48-V47,IF(A48&lt;'Données projet'!$A$36,$K$205^A48,IF(A48='Données projet'!$A$36,'Données projet'!$B$36,N47+M48-V47)))</f>
        <v>204.00000000000003</v>
      </c>
      <c r="O48" s="14">
        <f>N48*VLOOKUP('Données projet'!$B$9,Paramètres!$A$1:$I$89,3,0)*VLOOKUP('Données projet'!$B$9,Paramètres!$A$1:$I$89,5,0)</f>
        <v>184.57920000000001</v>
      </c>
      <c r="P48" s="14">
        <f t="shared" si="33"/>
        <v>46.339479465836661</v>
      </c>
      <c r="Q48" s="22">
        <f t="shared" si="53"/>
        <v>402.18336673633218</v>
      </c>
      <c r="R48" s="62">
        <f t="shared" si="0"/>
        <v>695.51670006966549</v>
      </c>
      <c r="S48" s="62">
        <f ca="1">AVERAGE(OFFSET($R$3,0,0,'Données projet'!$E$9+1,1))-AVERAGE(OFFSET($H$3,0,0,'Données projet'!$E$9+1,1))</f>
        <v>429.08375622925655</v>
      </c>
      <c r="T48" s="62">
        <f t="shared" si="34"/>
        <v>278.21741231699929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28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6.4491910497762636E-2</v>
      </c>
      <c r="AC48" s="24">
        <f t="shared" si="3"/>
        <v>6.4491910497762636E-2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204</v>
      </c>
      <c r="AG48" s="13">
        <f>VLOOKUP(A48,'Données projet'!$A$61:$I$81,9,0)</f>
        <v>11.4</v>
      </c>
      <c r="AH48" s="13">
        <f t="array" ref="AH48">INDEX(AG:AG,MIN(IF(ISNUMBER(AG48:AG244),ROW(AG48:AG244),"")))</f>
        <v>11.4</v>
      </c>
      <c r="AI48" s="14">
        <f>IF('Données projet'!$A$62&gt;35,AI47+AH48-AQ47,IF(A48&lt;'Données projet'!$A$62,$AF$205^A48,IF(A48='Données projet'!$A$62,'Données projet'!$B$62,AI47+AH48-AQ47)))</f>
        <v>204.00000000000003</v>
      </c>
      <c r="AJ48" s="14">
        <f>AI48*VLOOKUP('Données projet'!$B$10,Paramètres!$A$1:$I$89,3,0)*VLOOKUP('Données projet'!$B$10,Paramètres!$A$1:$I$89,5,0)</f>
        <v>194.12640000000002</v>
      </c>
      <c r="AK48" s="14">
        <f t="shared" si="35"/>
        <v>48.451097401781084</v>
      </c>
      <c r="AL48" s="22">
        <f t="shared" si="4"/>
        <v>422.48914130810203</v>
      </c>
      <c r="AM48" s="62">
        <f t="shared" si="5"/>
        <v>715.82247464143529</v>
      </c>
      <c r="AN48" s="62">
        <f ca="1">AVERAGE(OFFSET($AM$3,0,0,'Données projet'!$E$10+1,1))-AVERAGE(OFFSET($H$3,0,0,'Données projet'!$E$10+1,1))</f>
        <v>449.16408464351673</v>
      </c>
      <c r="AO48" s="62">
        <f t="shared" si="36"/>
        <v>290.39826583283588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28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6.782769897178488E-2</v>
      </c>
      <c r="AX48" s="23">
        <f t="shared" si="6"/>
        <v>6.782769897178488E-2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204</v>
      </c>
      <c r="BB48" s="13">
        <f>VLOOKUP(A48,'Données projet'!$A$87:$I$107,9,0)</f>
        <v>11.4</v>
      </c>
      <c r="BC48" s="13">
        <f t="array" ref="BC48">INDEX(BB:BB,MIN(IF(ISNUMBER(BB48:BB244),ROW(BB48:BB244),"")))</f>
        <v>11.4</v>
      </c>
      <c r="BD48" s="13">
        <f>IF('Données projet'!$A$88&gt;35,BD47+BC48-BL47,IF(A48&lt;'Données projet'!$A$88,$BA$205^A48,IF(A48='Données projet'!$A$88,'Données projet'!$B$88,BD47+BC48-BL47)))</f>
        <v>204.00000000000003</v>
      </c>
      <c r="BE48" s="14">
        <f>BD48*VLOOKUP('Données projet'!$B$11,Paramètres!$A$1:$I$89,3,0)*VLOOKUP('Données projet'!$B$11,Paramètres!$A$1:$I$89,5,0)</f>
        <v>197.30880000000005</v>
      </c>
      <c r="BF48" s="14">
        <f t="shared" si="37"/>
        <v>49.152257900676076</v>
      </c>
      <c r="BG48" s="22">
        <f t="shared" si="7"/>
        <v>429.25300917701088</v>
      </c>
      <c r="BH48" s="62">
        <f t="shared" si="8"/>
        <v>722.58634251034414</v>
      </c>
      <c r="BI48" s="62">
        <f ca="1">AVERAGE(OFFSET($BH$3,0,0,'Données projet'!$E$11+1,1))-AVERAGE(OFFSET($H$3,0,0,'Données projet'!$E$11+1,1))</f>
        <v>455.85294519779609</v>
      </c>
      <c r="BJ48" s="62">
        <f t="shared" si="38"/>
        <v>294.45557293177131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28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6.8939628463125596E-2</v>
      </c>
      <c r="BS48" s="24">
        <f t="shared" si="9"/>
        <v>6.8939628463125596E-2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245</v>
      </c>
      <c r="BW48" s="13">
        <f>VLOOKUP(A48,'Données projet'!$A$113:$I$133,9,0)</f>
        <v>11</v>
      </c>
      <c r="BX48" s="13">
        <f t="array" ref="BX48">INDEX(BW:BW,MIN(IF(ISNUMBER(BW48:BW244),ROW(BW48:BW244),"")))</f>
        <v>11</v>
      </c>
      <c r="BY48" s="13">
        <f>IF('Données projet'!$A$114&gt;35,BY47+BX48-CG47,IF(A48&lt;'Données projet'!$A$114,$BV$205^A48,IF(A48='Données projet'!$A$114,'Données projet'!$B$114,BY47+BX48-CG47)))</f>
        <v>245.00000000000011</v>
      </c>
      <c r="BZ48" s="14">
        <f>BY48*VLOOKUP('Données projet'!$B$12,Paramètres!$A$1:$I$89,3,0)*VLOOKUP('Données projet'!$B$12,Paramètres!$A$1:$I$89,5,0)</f>
        <v>214.03200000000012</v>
      </c>
      <c r="CA48" s="14">
        <f t="shared" si="39"/>
        <v>52.815701536972284</v>
      </c>
      <c r="CB48" s="22">
        <f t="shared" si="10"/>
        <v>464.75974684356021</v>
      </c>
      <c r="CC48" s="62">
        <f t="shared" si="11"/>
        <v>758.09308017689352</v>
      </c>
      <c r="CD48" s="62">
        <f ca="1">AVERAGE(OFFSET($CC$3,0,0,'Données projet'!$E$12+1,1))-AVERAGE(OFFSET($H$3,0,0,'Données projet'!$E$12+1,1))</f>
        <v>304.32767345253382</v>
      </c>
      <c r="CE48" s="62">
        <f t="shared" si="40"/>
        <v>427.16091343339173</v>
      </c>
      <c r="CF48" s="16">
        <f>IF(ISNA(VLOOKUP(A48,'Données projet'!$A$113:$I$133,3,0)),0,VLOOKUP(A48,'Données projet'!$A$113:$I$133,3,0))</f>
        <v>7</v>
      </c>
      <c r="CG48" s="16">
        <f>IF(ISNA(VLOOKUP(A48,'Données projet'!$A$113:$I$133,4,0)),0,VLOOKUP(A48,'Données projet'!$A$113:$I$133,4,0))</f>
        <v>41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312</v>
      </c>
      <c r="CR48" s="13">
        <f>VLOOKUP(A48,'Données projet'!$A$139:$I$159,9,0)</f>
        <v>6</v>
      </c>
      <c r="CS48" s="13">
        <f t="array" ref="CS48">INDEX(CR:CR,MIN(IF(ISNUMBER(CR48:CR244),ROW(CR48:CR244),"")))</f>
        <v>6</v>
      </c>
      <c r="CT48" s="13">
        <f>IF('Données projet'!$A$140&gt;35,CT47+CS48-DB47,IF(A48&lt;'Données projet'!$A$140,$CQ$205^A48,IF(A48='Données projet'!$A$140,'Données projet'!$B$140,CT47+CS48-DB47)))</f>
        <v>311.99999999999994</v>
      </c>
      <c r="CU48" s="18">
        <f>CT48*VLOOKUP('Données projet'!$B$13,Paramètres!$A$1:$I$89,3,0)*VLOOKUP('Données projet'!$B$13,Paramètres!$A$1:$I$89,5,0)</f>
        <v>282.29759999999993</v>
      </c>
      <c r="CV48" s="14">
        <f t="shared" si="41"/>
        <v>67.452326629470178</v>
      </c>
      <c r="CW48" s="22">
        <f t="shared" si="13"/>
        <v>609.14778887966042</v>
      </c>
      <c r="CX48" s="62">
        <f t="shared" si="14"/>
        <v>902.4811222129938</v>
      </c>
      <c r="CY48" s="62">
        <f ca="1">AVERAGE(OFFSET($CX$3,0,0,'Données projet'!$E$13+1,1))-AVERAGE(OFFSET($H$3,0,0,'Données projet'!$E$13+1,1))</f>
        <v>350.06545824795847</v>
      </c>
      <c r="CZ48" s="62">
        <f t="shared" si="42"/>
        <v>513.80016421153414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312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204</v>
      </c>
      <c r="DM48" s="13">
        <f>VLOOKUP(A48,'Données projet'!$A$165:$I$185,9,0)</f>
        <v>11.4</v>
      </c>
      <c r="DN48" s="13">
        <f t="array" ref="DN48">INDEX(DM:DM,MIN(IF(ISNUMBER(DM48:DM244),ROW(DM48:DM244),"")))</f>
        <v>11.4</v>
      </c>
      <c r="DO48" s="13">
        <f>IF('Données projet'!$A$166&gt;35,DO47+DN48-DW47,IF(A48&lt;'Données projet'!$A$166,$DL$205^A48,IF(A48='Données projet'!$A$166,'Données projet'!$B$166,DO47+DN48-DW47)))</f>
        <v>204.00000000000003</v>
      </c>
      <c r="DP48" s="18">
        <f>DO48*VLOOKUP('Données projet'!$B$14,Paramètres!$A$1:$I$89,3,0)*VLOOKUP('Données projet'!$B$14,Paramètres!$A$1:$I$89,5,0)</f>
        <v>162.30240000000003</v>
      </c>
      <c r="DQ48" s="14">
        <f t="shared" si="43"/>
        <v>41.361395541514355</v>
      </c>
      <c r="DR48" s="22">
        <f t="shared" si="16"/>
        <v>354.71444390147082</v>
      </c>
      <c r="DS48" s="62">
        <f t="shared" si="17"/>
        <v>648.04777723480413</v>
      </c>
      <c r="DT48" s="62">
        <f ca="1">AVERAGE(OFFSET($DS$3,0,0,'Données projet'!$E$14+1,1))-AVERAGE(OFFSET($H$3,0,0,'Données projet'!$E$14+1,1))</f>
        <v>382.14353215900121</v>
      </c>
      <c r="DU48" s="62">
        <f t="shared" si="44"/>
        <v>249.73945975250177</v>
      </c>
      <c r="DV48" s="16">
        <f>IF(ISNA(VLOOKUP(A48,'Données projet'!$A$165:$I$185,3,0)),0,VLOOKUP(A48,'Données projet'!$A$165:$I$185,3,0))</f>
        <v>6</v>
      </c>
      <c r="DW48" s="16">
        <f>IF(ISNA(VLOOKUP(A48,'Données projet'!$A$165:$I$185,4,0)),0,VLOOKUP(A48,'Données projet'!$A$165:$I$185,4,0))</f>
        <v>28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5.6708404058377536E-2</v>
      </c>
      <c r="ED48" s="24">
        <f t="shared" si="18"/>
        <v>5.6708404058377536E-2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</v>
      </c>
      <c r="N49" s="14">
        <f>IF('Données projet'!$A$36&gt;35,N48+M49-V48,IF(A49&lt;'Données projet'!$A$36,$K$205^A49,IF(A49='Données projet'!$A$36,'Données projet'!$B$36,N48+M49-V48)))</f>
        <v>187.00000000000003</v>
      </c>
      <c r="O49" s="14">
        <f>N49*VLOOKUP('Données projet'!$B$9,Paramètres!$A$1:$I$89,3,0)*VLOOKUP('Données projet'!$B$9,Paramètres!$A$1:$I$89,5,0)</f>
        <v>169.19760000000002</v>
      </c>
      <c r="P49" s="14">
        <f t="shared" si="33"/>
        <v>42.910263223432885</v>
      </c>
      <c r="Q49" s="22">
        <f t="shared" si="53"/>
        <v>369.42119511414558</v>
      </c>
      <c r="R49" s="62">
        <f t="shared" si="0"/>
        <v>662.75452844747883</v>
      </c>
      <c r="S49" s="62">
        <f ca="1">AVERAGE(OFFSET($R$3,0,0,'Données projet'!$E$9+1,1))-AVERAGE(OFFSET($H$3,0,0,'Données projet'!$E$9+1,1))</f>
        <v>429.08375622925655</v>
      </c>
      <c r="T49" s="62">
        <f t="shared" si="34"/>
        <v>278.21741231699929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4.5602667244643853E-2</v>
      </c>
      <c r="AC49" s="24">
        <f t="shared" si="3"/>
        <v>4.5602667244643853E-2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</v>
      </c>
      <c r="AI49" s="14">
        <f>IF('Données projet'!$A$62&gt;35,AI48+AH49-AQ48,IF(A49&lt;'Données projet'!$A$62,$AF$205^A49,IF(A49='Données projet'!$A$62,'Données projet'!$B$62,AI48+AH49-AQ48)))</f>
        <v>187.00000000000003</v>
      </c>
      <c r="AJ49" s="14">
        <f>AI49*VLOOKUP('Données projet'!$B$10,Paramètres!$A$1:$I$89,3,0)*VLOOKUP('Données projet'!$B$10,Paramètres!$A$1:$I$89,5,0)</f>
        <v>177.94920000000005</v>
      </c>
      <c r="AK49" s="14">
        <f t="shared" si="35"/>
        <v>44.865617113963758</v>
      </c>
      <c r="AL49" s="22">
        <f t="shared" si="4"/>
        <v>388.06913980682026</v>
      </c>
      <c r="AM49" s="62">
        <f t="shared" si="5"/>
        <v>681.40247314015357</v>
      </c>
      <c r="AN49" s="62">
        <f ca="1">AVERAGE(OFFSET($AM$3,0,0,'Données projet'!$E$10+1,1))-AVERAGE(OFFSET($H$3,0,0,'Données projet'!$E$10+1,1))</f>
        <v>449.16408464351673</v>
      </c>
      <c r="AO49" s="62">
        <f t="shared" si="36"/>
        <v>290.39826583283588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4.7961425895228907E-2</v>
      </c>
      <c r="AX49" s="23">
        <f t="shared" si="6"/>
        <v>4.7961425895228907E-2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11</v>
      </c>
      <c r="BD49" s="13">
        <f>IF('Données projet'!$A$88&gt;35,BD48+BC49-BL48,IF(A49&lt;'Données projet'!$A$88,$BA$205^A49,IF(A49='Données projet'!$A$88,'Données projet'!$B$88,BD48+BC49-BL48)))</f>
        <v>187.00000000000003</v>
      </c>
      <c r="BE49" s="14">
        <f>BD49*VLOOKUP('Données projet'!$B$11,Paramètres!$A$1:$I$89,3,0)*VLOOKUP('Données projet'!$B$11,Paramètres!$A$1:$I$89,5,0)</f>
        <v>180.86640000000003</v>
      </c>
      <c r="BF49" s="14">
        <f t="shared" si="37"/>
        <v>45.514890302102152</v>
      </c>
      <c r="BG49" s="22">
        <f t="shared" si="7"/>
        <v>394.28074727616126</v>
      </c>
      <c r="BH49" s="62">
        <f t="shared" si="8"/>
        <v>687.61408060949452</v>
      </c>
      <c r="BI49" s="62">
        <f ca="1">AVERAGE(OFFSET($BH$3,0,0,'Données projet'!$E$11+1,1))-AVERAGE(OFFSET($H$3,0,0,'Données projet'!$E$11+1,1))</f>
        <v>455.85294519779609</v>
      </c>
      <c r="BJ49" s="62">
        <f t="shared" si="38"/>
        <v>294.45557293177131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4.8747678778757235E-2</v>
      </c>
      <c r="BS49" s="24">
        <f t="shared" si="9"/>
        <v>4.8747678778757235E-2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9.6</v>
      </c>
      <c r="BY49" s="13">
        <f>IF('Données projet'!$A$114&gt;35,BY48+BX49-CG48,IF(A49&lt;'Données projet'!$A$114,$BV$205^A49,IF(A49='Données projet'!$A$114,'Données projet'!$B$114,BY48+BX49-CG48)))</f>
        <v>213.60000000000011</v>
      </c>
      <c r="BZ49" s="14">
        <f>BY49*VLOOKUP('Données projet'!$B$12,Paramètres!$A$1:$I$89,3,0)*VLOOKUP('Données projet'!$B$12,Paramètres!$A$1:$I$89,5,0)</f>
        <v>186.60096000000013</v>
      </c>
      <c r="CA49" s="14">
        <f t="shared" si="39"/>
        <v>46.787685683664144</v>
      </c>
      <c r="CB49" s="22">
        <f t="shared" si="10"/>
        <v>406.48522456571527</v>
      </c>
      <c r="CC49" s="62">
        <f t="shared" si="11"/>
        <v>699.81855789904853</v>
      </c>
      <c r="CD49" s="62">
        <f ca="1">AVERAGE(OFFSET($CC$3,0,0,'Données projet'!$E$12+1,1))-AVERAGE(OFFSET($H$3,0,0,'Données projet'!$E$12+1,1))</f>
        <v>304.32767345253382</v>
      </c>
      <c r="CE49" s="62">
        <f t="shared" si="40"/>
        <v>427.16091343339173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-5.6843418860808015E-14</v>
      </c>
      <c r="CU49" s="18">
        <f>CT49*VLOOKUP('Données projet'!$B$13,Paramètres!$A$1:$I$89,3,0)*VLOOKUP('Données projet'!$B$13,Paramètres!$A$1:$I$89,5,0)</f>
        <v>-5.1431925385259088E-14</v>
      </c>
      <c r="CV49" s="14" t="e">
        <f t="shared" si="41"/>
        <v>#NUM!</v>
      </c>
      <c r="CW49" s="22" t="e">
        <f t="shared" si="13"/>
        <v>#NUM!</v>
      </c>
      <c r="CX49" s="62" t="e">
        <f t="shared" si="14"/>
        <v>#NUM!</v>
      </c>
      <c r="CY49" s="62">
        <f ca="1">AVERAGE(OFFSET($CX$3,0,0,'Données projet'!$E$13+1,1))-AVERAGE(OFFSET($H$3,0,0,'Données projet'!$E$13+1,1))</f>
        <v>350.06545824795847</v>
      </c>
      <c r="CZ49" s="62">
        <f t="shared" si="42"/>
        <v>513.80016421153414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11</v>
      </c>
      <c r="DO49" s="13">
        <f>IF('Données projet'!$A$166&gt;35,DO48+DN49-DW48,IF(A49&lt;'Données projet'!$A$166,$DL$205^A49,IF(A49='Données projet'!$A$166,'Données projet'!$B$166,DO48+DN49-DW48)))</f>
        <v>187.00000000000003</v>
      </c>
      <c r="DP49" s="18">
        <f>DO49*VLOOKUP('Données projet'!$B$14,Paramètres!$A$1:$I$89,3,0)*VLOOKUP('Données projet'!$B$14,Paramètres!$A$1:$I$89,5,0)</f>
        <v>148.77720000000002</v>
      </c>
      <c r="DQ49" s="14">
        <f t="shared" si="43"/>
        <v>38.300567689444584</v>
      </c>
      <c r="DR49" s="22">
        <f t="shared" si="16"/>
        <v>325.82711205911602</v>
      </c>
      <c r="DS49" s="62">
        <f t="shared" si="17"/>
        <v>619.16044539244933</v>
      </c>
      <c r="DT49" s="62">
        <f ca="1">AVERAGE(OFFSET($DS$3,0,0,'Données projet'!$E$14+1,1))-AVERAGE(OFFSET($H$3,0,0,'Données projet'!$E$14+1,1))</f>
        <v>382.14353215900121</v>
      </c>
      <c r="DU49" s="62">
        <f t="shared" si="44"/>
        <v>249.73945975250177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4.0098897059945487E-2</v>
      </c>
      <c r="ED49" s="24">
        <f t="shared" si="18"/>
        <v>4.0098897059945487E-2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</v>
      </c>
      <c r="N50" s="14">
        <f>IF('Données projet'!$A$36&gt;35,N49+M50-V49,IF(A50&lt;'Données projet'!$A$36,$K$205^A50,IF(A50='Données projet'!$A$36,'Données projet'!$B$36,N49+M50-V49)))</f>
        <v>198.00000000000003</v>
      </c>
      <c r="O50" s="14">
        <f>N50*VLOOKUP('Données projet'!$B$9,Paramètres!$A$1:$I$89,3,0)*VLOOKUP('Données projet'!$B$9,Paramètres!$A$1:$I$89,5,0)</f>
        <v>179.15040000000002</v>
      </c>
      <c r="P50" s="14">
        <f t="shared" si="33"/>
        <v>45.133113803437304</v>
      </c>
      <c r="Q50" s="22">
        <f t="shared" si="53"/>
        <v>390.62711987431999</v>
      </c>
      <c r="R50" s="62">
        <f t="shared" si="0"/>
        <v>683.96045320765325</v>
      </c>
      <c r="S50" s="62">
        <f ca="1">AVERAGE(OFFSET($R$3,0,0,'Données projet'!$E$9+1,1))-AVERAGE(OFFSET($H$3,0,0,'Données projet'!$E$9+1,1))</f>
        <v>429.08375622925655</v>
      </c>
      <c r="T50" s="62">
        <f t="shared" si="34"/>
        <v>278.21741231699929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3.2245955248881318E-2</v>
      </c>
      <c r="AC50" s="24">
        <f t="shared" si="3"/>
        <v>3.2245955248881318E-2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</v>
      </c>
      <c r="AI50" s="14">
        <f>IF('Données projet'!$A$62&gt;35,AI49+AH50-AQ49,IF(A50&lt;'Données projet'!$A$62,$AF$205^A50,IF(A50='Données projet'!$A$62,'Données projet'!$B$62,AI49+AH50-AQ49)))</f>
        <v>198.00000000000003</v>
      </c>
      <c r="AJ50" s="14">
        <f>AI50*VLOOKUP('Données projet'!$B$10,Paramètres!$A$1:$I$89,3,0)*VLOOKUP('Données projet'!$B$10,Paramètres!$A$1:$I$89,5,0)</f>
        <v>188.41680000000002</v>
      </c>
      <c r="AK50" s="14">
        <f t="shared" si="35"/>
        <v>47.189759534268674</v>
      </c>
      <c r="AL50" s="22">
        <f t="shared" si="4"/>
        <v>410.34809118885124</v>
      </c>
      <c r="AM50" s="62">
        <f t="shared" si="5"/>
        <v>703.68142452218456</v>
      </c>
      <c r="AN50" s="62">
        <f ca="1">AVERAGE(OFFSET($AM$3,0,0,'Données projet'!$E$10+1,1))-AVERAGE(OFFSET($H$3,0,0,'Données projet'!$E$10+1,1))</f>
        <v>449.16408464351673</v>
      </c>
      <c r="AO50" s="62">
        <f t="shared" si="36"/>
        <v>290.39826583283588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3.391384948589244E-2</v>
      </c>
      <c r="AX50" s="23">
        <f t="shared" si="6"/>
        <v>3.391384948589244E-2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11</v>
      </c>
      <c r="BD50" s="13">
        <f>IF('Données projet'!$A$88&gt;35,BD49+BC50-BL49,IF(A50&lt;'Données projet'!$A$88,$BA$205^A50,IF(A50='Données projet'!$A$88,'Données projet'!$B$88,BD49+BC50-BL49)))</f>
        <v>198.00000000000003</v>
      </c>
      <c r="BE50" s="14">
        <f>BD50*VLOOKUP('Données projet'!$B$11,Paramètres!$A$1:$I$89,3,0)*VLOOKUP('Données projet'!$B$11,Paramètres!$A$1:$I$89,5,0)</f>
        <v>191.50560000000004</v>
      </c>
      <c r="BF50" s="14">
        <f t="shared" si="37"/>
        <v>47.872666570685276</v>
      </c>
      <c r="BG50" s="22">
        <f t="shared" si="7"/>
        <v>416.91714761061024</v>
      </c>
      <c r="BH50" s="62">
        <f t="shared" si="8"/>
        <v>710.25048094394356</v>
      </c>
      <c r="BI50" s="62">
        <f ca="1">AVERAGE(OFFSET($BH$3,0,0,'Données projet'!$E$11+1,1))-AVERAGE(OFFSET($H$3,0,0,'Données projet'!$E$11+1,1))</f>
        <v>455.85294519779609</v>
      </c>
      <c r="BJ50" s="62">
        <f t="shared" si="38"/>
        <v>294.45557293177131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3.4469814231562798E-2</v>
      </c>
      <c r="BS50" s="24">
        <f t="shared" si="9"/>
        <v>3.4469814231562798E-2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9.6</v>
      </c>
      <c r="BY50" s="13">
        <f>IF('Données projet'!$A$114&gt;35,BY49+BX50-CG49,IF(A50&lt;'Données projet'!$A$114,$BV$205^A50,IF(A50='Données projet'!$A$114,'Données projet'!$B$114,BY49+BX50-CG49)))</f>
        <v>223.2000000000001</v>
      </c>
      <c r="BZ50" s="14">
        <f>BY50*VLOOKUP('Données projet'!$B$12,Paramètres!$A$1:$I$89,3,0)*VLOOKUP('Données projet'!$B$12,Paramètres!$A$1:$I$89,5,0)</f>
        <v>194.98752000000013</v>
      </c>
      <c r="CA50" s="14">
        <f t="shared" si="39"/>
        <v>48.640954330020385</v>
      </c>
      <c r="CB50" s="22">
        <f t="shared" si="10"/>
        <v>424.31959279145235</v>
      </c>
      <c r="CC50" s="62">
        <f t="shared" si="11"/>
        <v>717.65292612478561</v>
      </c>
      <c r="CD50" s="62">
        <f ca="1">AVERAGE(OFFSET($CC$3,0,0,'Données projet'!$E$12+1,1))-AVERAGE(OFFSET($H$3,0,0,'Données projet'!$E$12+1,1))</f>
        <v>304.32767345253382</v>
      </c>
      <c r="CE50" s="62">
        <f t="shared" si="40"/>
        <v>427.16091343339173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-5.6843418860808015E-14</v>
      </c>
      <c r="CU50" s="18">
        <f>CT50*VLOOKUP('Données projet'!$B$13,Paramètres!$A$1:$I$89,3,0)*VLOOKUP('Données projet'!$B$13,Paramètres!$A$1:$I$89,5,0)</f>
        <v>-5.1431925385259088E-14</v>
      </c>
      <c r="CV50" s="14" t="e">
        <f t="shared" si="41"/>
        <v>#NUM!</v>
      </c>
      <c r="CW50" s="22" t="e">
        <f t="shared" si="13"/>
        <v>#NUM!</v>
      </c>
      <c r="CX50" s="62" t="e">
        <f t="shared" si="14"/>
        <v>#NUM!</v>
      </c>
      <c r="CY50" s="62">
        <f ca="1">AVERAGE(OFFSET($CX$3,0,0,'Données projet'!$E$13+1,1))-AVERAGE(OFFSET($H$3,0,0,'Données projet'!$E$13+1,1))</f>
        <v>350.06545824795847</v>
      </c>
      <c r="CZ50" s="62">
        <f t="shared" si="42"/>
        <v>513.80016421153414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11</v>
      </c>
      <c r="DO50" s="13">
        <f>IF('Données projet'!$A$166&gt;35,DO49+DN50-DW49,IF(A50&lt;'Données projet'!$A$166,$DL$205^A50,IF(A50='Données projet'!$A$166,'Données projet'!$B$166,DO49+DN50-DW49)))</f>
        <v>198.00000000000003</v>
      </c>
      <c r="DP50" s="18">
        <f>DO50*VLOOKUP('Données projet'!$B$14,Paramètres!$A$1:$I$89,3,0)*VLOOKUP('Données projet'!$B$14,Paramètres!$A$1:$I$89,5,0)</f>
        <v>157.52880000000005</v>
      </c>
      <c r="DQ50" s="14">
        <f t="shared" si="43"/>
        <v>40.284625411479013</v>
      </c>
      <c r="DR50" s="22">
        <f t="shared" si="16"/>
        <v>344.52504925832596</v>
      </c>
      <c r="DS50" s="62">
        <f t="shared" si="17"/>
        <v>637.85838259165928</v>
      </c>
      <c r="DT50" s="62">
        <f ca="1">AVERAGE(OFFSET($DS$3,0,0,'Données projet'!$E$14+1,1))-AVERAGE(OFFSET($H$3,0,0,'Données projet'!$E$14+1,1))</f>
        <v>382.14353215900121</v>
      </c>
      <c r="DU50" s="62">
        <f t="shared" si="44"/>
        <v>249.73945975250177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2.8354202029188768E-2</v>
      </c>
      <c r="ED50" s="24">
        <f t="shared" si="18"/>
        <v>2.8354202029188768E-2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</v>
      </c>
      <c r="N51" s="14">
        <f>IF('Données projet'!$A$36&gt;35,N50+M51-V50,IF(A51&lt;'Données projet'!$A$36,$K$205^A51,IF(A51='Données projet'!$A$36,'Données projet'!$B$36,N50+M51-V50)))</f>
        <v>209.00000000000003</v>
      </c>
      <c r="O51" s="14">
        <f>N51*VLOOKUP('Données projet'!$B$9,Paramètres!$A$1:$I$89,3,0)*VLOOKUP('Données projet'!$B$9,Paramètres!$A$1:$I$89,5,0)</f>
        <v>189.10320000000002</v>
      </c>
      <c r="P51" s="14">
        <f t="shared" si="33"/>
        <v>47.34162854278712</v>
      </c>
      <c r="Q51" s="22">
        <f t="shared" si="53"/>
        <v>411.80807637868764</v>
      </c>
      <c r="R51" s="62">
        <f t="shared" si="0"/>
        <v>705.14140971202096</v>
      </c>
      <c r="S51" s="62">
        <f ca="1">AVERAGE(OFFSET($R$3,0,0,'Données projet'!$E$9+1,1))-AVERAGE(OFFSET($H$3,0,0,'Données projet'!$E$9+1,1))</f>
        <v>429.08375622925655</v>
      </c>
      <c r="T51" s="62">
        <f t="shared" si="34"/>
        <v>278.21741231699929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2.2801333622321927E-2</v>
      </c>
      <c r="AC51" s="24">
        <f t="shared" si="3"/>
        <v>2.2801333622321927E-2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</v>
      </c>
      <c r="AI51" s="14">
        <f>IF('Données projet'!$A$62&gt;35,AI50+AH51-AQ50,IF(A51&lt;'Données projet'!$A$62,$AF$205^A51,IF(A51='Données projet'!$A$62,'Données projet'!$B$62,AI50+AH51-AQ50)))</f>
        <v>209.00000000000003</v>
      </c>
      <c r="AJ51" s="14">
        <f>AI51*VLOOKUP('Données projet'!$B$10,Paramètres!$A$1:$I$89,3,0)*VLOOKUP('Données projet'!$B$10,Paramètres!$A$1:$I$89,5,0)</f>
        <v>198.88440000000003</v>
      </c>
      <c r="AK51" s="14">
        <f t="shared" si="35"/>
        <v>49.498912851979021</v>
      </c>
      <c r="AL51" s="22">
        <f t="shared" si="4"/>
        <v>432.60093655053015</v>
      </c>
      <c r="AM51" s="62">
        <f t="shared" si="5"/>
        <v>725.93426988386341</v>
      </c>
      <c r="AN51" s="62">
        <f ca="1">AVERAGE(OFFSET($AM$3,0,0,'Données projet'!$E$10+1,1))-AVERAGE(OFFSET($H$3,0,0,'Données projet'!$E$10+1,1))</f>
        <v>449.16408464351673</v>
      </c>
      <c r="AO51" s="62">
        <f t="shared" si="36"/>
        <v>290.39826583283588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2.3980712947614453E-2</v>
      </c>
      <c r="AX51" s="23">
        <f t="shared" si="6"/>
        <v>2.3980712947614453E-2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11</v>
      </c>
      <c r="BD51" s="13">
        <f>IF('Données projet'!$A$88&gt;35,BD50+BC51-BL50,IF(A51&lt;'Données projet'!$A$88,$BA$205^A51,IF(A51='Données projet'!$A$88,'Données projet'!$B$88,BD50+BC51-BL50)))</f>
        <v>209.00000000000003</v>
      </c>
      <c r="BE51" s="14">
        <f>BD51*VLOOKUP('Données projet'!$B$11,Paramètres!$A$1:$I$89,3,0)*VLOOKUP('Données projet'!$B$11,Paramètres!$A$1:$I$89,5,0)</f>
        <v>202.14480000000003</v>
      </c>
      <c r="BF51" s="14">
        <f t="shared" si="37"/>
        <v>50.215236821738628</v>
      </c>
      <c r="BG51" s="22">
        <f t="shared" si="7"/>
        <v>439.52706413119489</v>
      </c>
      <c r="BH51" s="62">
        <f t="shared" si="8"/>
        <v>732.86039746452821</v>
      </c>
      <c r="BI51" s="62">
        <f ca="1">AVERAGE(OFFSET($BH$3,0,0,'Données projet'!$E$11+1,1))-AVERAGE(OFFSET($H$3,0,0,'Données projet'!$E$11+1,1))</f>
        <v>455.85294519779609</v>
      </c>
      <c r="BJ51" s="62">
        <f t="shared" si="38"/>
        <v>294.45557293177131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2.4373839389378617E-2</v>
      </c>
      <c r="BS51" s="24">
        <f t="shared" si="9"/>
        <v>2.4373839389378617E-2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9.6</v>
      </c>
      <c r="BY51" s="13">
        <f>IF('Données projet'!$A$114&gt;35,BY50+BX51-CG50,IF(A51&lt;'Données projet'!$A$114,$BV$205^A51,IF(A51='Données projet'!$A$114,'Données projet'!$B$114,BY50+BX51-CG50)))</f>
        <v>232.8000000000001</v>
      </c>
      <c r="BZ51" s="14">
        <f>BY51*VLOOKUP('Données projet'!$B$12,Paramètres!$A$1:$I$89,3,0)*VLOOKUP('Données projet'!$B$12,Paramètres!$A$1:$I$89,5,0)</f>
        <v>203.37408000000013</v>
      </c>
      <c r="CA51" s="14">
        <f t="shared" si="39"/>
        <v>50.484964849140624</v>
      </c>
      <c r="CB51" s="22">
        <f t="shared" si="10"/>
        <v>442.1378364455868</v>
      </c>
      <c r="CC51" s="62">
        <f t="shared" si="11"/>
        <v>735.47116977892006</v>
      </c>
      <c r="CD51" s="62">
        <f ca="1">AVERAGE(OFFSET($CC$3,0,0,'Données projet'!$E$12+1,1))-AVERAGE(OFFSET($H$3,0,0,'Données projet'!$E$12+1,1))</f>
        <v>304.32767345253382</v>
      </c>
      <c r="CE51" s="62">
        <f t="shared" si="40"/>
        <v>427.16091343339173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-5.6843418860808015E-14</v>
      </c>
      <c r="CU51" s="18">
        <f>CT51*VLOOKUP('Données projet'!$B$13,Paramètres!$A$1:$I$89,3,0)*VLOOKUP('Données projet'!$B$13,Paramètres!$A$1:$I$89,5,0)</f>
        <v>-5.1431925385259088E-14</v>
      </c>
      <c r="CV51" s="14" t="e">
        <f t="shared" si="41"/>
        <v>#NUM!</v>
      </c>
      <c r="CW51" s="22" t="e">
        <f t="shared" si="13"/>
        <v>#NUM!</v>
      </c>
      <c r="CX51" s="62" t="e">
        <f t="shared" si="14"/>
        <v>#NUM!</v>
      </c>
      <c r="CY51" s="62">
        <f ca="1">AVERAGE(OFFSET($CX$3,0,0,'Données projet'!$E$13+1,1))-AVERAGE(OFFSET($H$3,0,0,'Données projet'!$E$13+1,1))</f>
        <v>350.06545824795847</v>
      </c>
      <c r="CZ51" s="62">
        <f t="shared" si="42"/>
        <v>513.80016421153414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11</v>
      </c>
      <c r="DO51" s="13">
        <f>IF('Données projet'!$A$166&gt;35,DO50+DN51-DW50,IF(A51&lt;'Données projet'!$A$166,$DL$205^A51,IF(A51='Données projet'!$A$166,'Données projet'!$B$166,DO50+DN51-DW50)))</f>
        <v>209.00000000000003</v>
      </c>
      <c r="DP51" s="18">
        <f>DO51*VLOOKUP('Données projet'!$B$14,Paramètres!$A$1:$I$89,3,0)*VLOOKUP('Données projet'!$B$14,Paramètres!$A$1:$I$89,5,0)</f>
        <v>166.28040000000004</v>
      </c>
      <c r="DQ51" s="14">
        <f t="shared" si="43"/>
        <v>42.255887340755905</v>
      </c>
      <c r="DR51" s="22">
        <f t="shared" si="16"/>
        <v>363.2007004518166</v>
      </c>
      <c r="DS51" s="62">
        <f t="shared" si="17"/>
        <v>656.53403378514986</v>
      </c>
      <c r="DT51" s="62">
        <f ca="1">AVERAGE(OFFSET($DS$3,0,0,'Données projet'!$E$14+1,1))-AVERAGE(OFFSET($H$3,0,0,'Données projet'!$E$14+1,1))</f>
        <v>382.14353215900121</v>
      </c>
      <c r="DU51" s="62">
        <f t="shared" si="44"/>
        <v>249.73945975250177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2.0049448529972744E-2</v>
      </c>
      <c r="ED51" s="24">
        <f t="shared" si="18"/>
        <v>2.0049448529972744E-2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</v>
      </c>
      <c r="N52" s="14">
        <f>IF('Données projet'!$A$36&gt;35,N51+M52-V51,IF(A52&lt;'Données projet'!$A$36,$K$205^A52,IF(A52='Données projet'!$A$36,'Données projet'!$B$36,N51+M52-V51)))</f>
        <v>220.00000000000003</v>
      </c>
      <c r="O52" s="14">
        <f>N52*VLOOKUP('Données projet'!$B$9,Paramètres!$A$1:$I$89,3,0)*VLOOKUP('Données projet'!$B$9,Paramètres!$A$1:$I$89,5,0)</f>
        <v>199.05600000000001</v>
      </c>
      <c r="P52" s="14">
        <f t="shared" si="33"/>
        <v>49.536648006253934</v>
      </c>
      <c r="Q52" s="22">
        <f t="shared" si="53"/>
        <v>432.96552861089231</v>
      </c>
      <c r="R52" s="62">
        <f t="shared" si="0"/>
        <v>726.29886194422556</v>
      </c>
      <c r="S52" s="62">
        <f ca="1">AVERAGE(OFFSET($R$3,0,0,'Données projet'!$E$9+1,1))-AVERAGE(OFFSET($H$3,0,0,'Données projet'!$E$9+1,1))</f>
        <v>429.08375622925655</v>
      </c>
      <c r="T52" s="62">
        <f t="shared" si="34"/>
        <v>278.21741231699929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1.6122977624440659E-2</v>
      </c>
      <c r="AC52" s="24">
        <f t="shared" si="3"/>
        <v>1.6122977624440659E-2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</v>
      </c>
      <c r="AI52" s="14">
        <f>IF('Données projet'!$A$62&gt;35,AI51+AH52-AQ51,IF(A52&lt;'Données projet'!$A$62,$AF$205^A52,IF(A52='Données projet'!$A$62,'Données projet'!$B$62,AI51+AH52-AQ51)))</f>
        <v>220.00000000000003</v>
      </c>
      <c r="AJ52" s="14">
        <f>AI52*VLOOKUP('Données projet'!$B$10,Paramètres!$A$1:$I$89,3,0)*VLOOKUP('Données projet'!$B$10,Paramètres!$A$1:$I$89,5,0)</f>
        <v>209.35200000000003</v>
      </c>
      <c r="AK52" s="14">
        <f t="shared" si="35"/>
        <v>51.79395593509436</v>
      </c>
      <c r="AL52" s="22">
        <f t="shared" si="4"/>
        <v>454.82920658695599</v>
      </c>
      <c r="AM52" s="62">
        <f t="shared" si="5"/>
        <v>748.1625399202893</v>
      </c>
      <c r="AN52" s="62">
        <f ca="1">AVERAGE(OFFSET($AM$3,0,0,'Données projet'!$E$10+1,1))-AVERAGE(OFFSET($H$3,0,0,'Données projet'!$E$10+1,1))</f>
        <v>449.16408464351673</v>
      </c>
      <c r="AO52" s="62">
        <f t="shared" si="36"/>
        <v>290.39826583283588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1.695692474294622E-2</v>
      </c>
      <c r="AX52" s="23">
        <f t="shared" si="6"/>
        <v>1.695692474294622E-2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11</v>
      </c>
      <c r="BD52" s="13">
        <f>IF('Données projet'!$A$88&gt;35,BD51+BC52-BL51,IF(A52&lt;'Données projet'!$A$88,$BA$205^A52,IF(A52='Données projet'!$A$88,'Données projet'!$B$88,BD51+BC52-BL51)))</f>
        <v>220.00000000000003</v>
      </c>
      <c r="BE52" s="14">
        <f>BD52*VLOOKUP('Données projet'!$B$11,Paramètres!$A$1:$I$89,3,0)*VLOOKUP('Données projet'!$B$11,Paramètres!$A$1:$I$89,5,0)</f>
        <v>212.78400000000002</v>
      </c>
      <c r="BF52" s="14">
        <f t="shared" si="37"/>
        <v>52.543492641808065</v>
      </c>
      <c r="BG52" s="22">
        <f t="shared" si="7"/>
        <v>462.11204968448237</v>
      </c>
      <c r="BH52" s="62">
        <f t="shared" si="8"/>
        <v>755.44538301781563</v>
      </c>
      <c r="BI52" s="62">
        <f ca="1">AVERAGE(OFFSET($BH$3,0,0,'Données projet'!$E$11+1,1))-AVERAGE(OFFSET($H$3,0,0,'Données projet'!$E$11+1,1))</f>
        <v>455.85294519779609</v>
      </c>
      <c r="BJ52" s="62">
        <f t="shared" si="38"/>
        <v>294.45557293177131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1.7234907115781399E-2</v>
      </c>
      <c r="BS52" s="24">
        <f t="shared" si="9"/>
        <v>1.7234907115781399E-2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9.6</v>
      </c>
      <c r="BY52" s="13">
        <f>IF('Données projet'!$A$114&gt;35,BY51+BX52-CG51,IF(A52&lt;'Données projet'!$A$114,$BV$205^A52,IF(A52='Données projet'!$A$114,'Données projet'!$B$114,BY51+BX52-CG51)))</f>
        <v>242.40000000000009</v>
      </c>
      <c r="BZ52" s="14">
        <f>BY52*VLOOKUP('Données projet'!$B$12,Paramètres!$A$1:$I$89,3,0)*VLOOKUP('Données projet'!$B$12,Paramètres!$A$1:$I$89,5,0)</f>
        <v>211.76064000000011</v>
      </c>
      <c r="CA52" s="14">
        <f t="shared" si="39"/>
        <v>52.320142683061327</v>
      </c>
      <c r="CB52" s="22">
        <f t="shared" si="10"/>
        <v>459.94069650633202</v>
      </c>
      <c r="CC52" s="62">
        <f t="shared" si="11"/>
        <v>753.27402983966533</v>
      </c>
      <c r="CD52" s="62">
        <f ca="1">AVERAGE(OFFSET($CC$3,0,0,'Données projet'!$E$12+1,1))-AVERAGE(OFFSET($H$3,0,0,'Données projet'!$E$12+1,1))</f>
        <v>304.32767345253382</v>
      </c>
      <c r="CE52" s="62">
        <f t="shared" si="40"/>
        <v>427.16091343339173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-5.6843418860808015E-14</v>
      </c>
      <c r="CU52" s="18">
        <f>CT52*VLOOKUP('Données projet'!$B$13,Paramètres!$A$1:$I$89,3,0)*VLOOKUP('Données projet'!$B$13,Paramètres!$A$1:$I$89,5,0)</f>
        <v>-5.1431925385259088E-14</v>
      </c>
      <c r="CV52" s="14" t="e">
        <f t="shared" si="41"/>
        <v>#NUM!</v>
      </c>
      <c r="CW52" s="22" t="e">
        <f t="shared" si="13"/>
        <v>#NUM!</v>
      </c>
      <c r="CX52" s="62" t="e">
        <f t="shared" si="14"/>
        <v>#NUM!</v>
      </c>
      <c r="CY52" s="62">
        <f ca="1">AVERAGE(OFFSET($CX$3,0,0,'Données projet'!$E$13+1,1))-AVERAGE(OFFSET($H$3,0,0,'Données projet'!$E$13+1,1))</f>
        <v>350.06545824795847</v>
      </c>
      <c r="CZ52" s="62">
        <f t="shared" si="42"/>
        <v>513.80016421153414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11</v>
      </c>
      <c r="DO52" s="13">
        <f>IF('Données projet'!$A$166&gt;35,DO51+DN52-DW51,IF(A52&lt;'Données projet'!$A$166,$DL$205^A52,IF(A52='Données projet'!$A$166,'Données projet'!$B$166,DO51+DN52-DW51)))</f>
        <v>220.00000000000003</v>
      </c>
      <c r="DP52" s="18">
        <f>DO52*VLOOKUP('Données projet'!$B$14,Paramètres!$A$1:$I$89,3,0)*VLOOKUP('Données projet'!$B$14,Paramètres!$A$1:$I$89,5,0)</f>
        <v>175.03200000000004</v>
      </c>
      <c r="DQ52" s="14">
        <f t="shared" si="43"/>
        <v>44.215103743191008</v>
      </c>
      <c r="DR52" s="22">
        <f t="shared" si="16"/>
        <v>381.85537235272437</v>
      </c>
      <c r="DS52" s="62">
        <f t="shared" si="17"/>
        <v>675.18870568605769</v>
      </c>
      <c r="DT52" s="62">
        <f ca="1">AVERAGE(OFFSET($DS$3,0,0,'Données projet'!$E$14+1,1))-AVERAGE(OFFSET($H$3,0,0,'Données projet'!$E$14+1,1))</f>
        <v>382.14353215900121</v>
      </c>
      <c r="DU52" s="62">
        <f t="shared" si="44"/>
        <v>249.73945975250177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1.4177101014594384E-2</v>
      </c>
      <c r="ED52" s="24">
        <f t="shared" si="18"/>
        <v>1.4177101014594384E-2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11</v>
      </c>
      <c r="M53" s="13">
        <f t="array" ref="M53">INDEX(L:L,MIN(IF(ISNUMBER(L53:L249),ROW(L53:L249),"")))</f>
        <v>11</v>
      </c>
      <c r="N53" s="14">
        <f>IF('Données projet'!$A$36&gt;35,N52+M53-V52,IF(A53&lt;'Données projet'!$A$36,$K$205^A53,IF(A53='Données projet'!$A$36,'Données projet'!$B$36,N52+M53-V52)))</f>
        <v>231.00000000000003</v>
      </c>
      <c r="O53" s="14">
        <f>N53*VLOOKUP('Données projet'!$B$9,Paramètres!$A$1:$I$89,3,0)*VLOOKUP('Données projet'!$B$9,Paramètres!$A$1:$I$89,5,0)</f>
        <v>209.00880000000004</v>
      </c>
      <c r="P53" s="14">
        <f t="shared" si="33"/>
        <v>51.718923953824252</v>
      </c>
      <c r="Q53" s="22">
        <f t="shared" si="53"/>
        <v>454.10078588624395</v>
      </c>
      <c r="R53" s="62">
        <f t="shared" si="0"/>
        <v>747.43411921957727</v>
      </c>
      <c r="S53" s="62">
        <f ca="1">AVERAGE(OFFSET($R$3,0,0,'Données projet'!$E$9+1,1))-AVERAGE(OFFSET($H$3,0,0,'Données projet'!$E$9+1,1))</f>
        <v>429.08375622925655</v>
      </c>
      <c r="T53" s="62">
        <f t="shared" si="34"/>
        <v>278.21741231699929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28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1.1400666811160963E-2</v>
      </c>
      <c r="AC53" s="24">
        <f t="shared" si="3"/>
        <v>1.1400666811160963E-2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231</v>
      </c>
      <c r="AG53" s="13">
        <f>VLOOKUP(A53,'Données projet'!$A$61:$I$81,9,0)</f>
        <v>11</v>
      </c>
      <c r="AH53" s="13">
        <f t="array" ref="AH53">INDEX(AG:AG,MIN(IF(ISNUMBER(AG53:AG249),ROW(AG53:AG249),"")))</f>
        <v>11</v>
      </c>
      <c r="AI53" s="14">
        <f>IF('Données projet'!$A$62&gt;35,AI52+AH53-AQ52,IF(A53&lt;'Données projet'!$A$62,$AF$205^A53,IF(A53='Données projet'!$A$62,'Données projet'!$B$62,AI52+AH53-AQ52)))</f>
        <v>231.00000000000003</v>
      </c>
      <c r="AJ53" s="14">
        <f>AI53*VLOOKUP('Données projet'!$B$10,Paramètres!$A$1:$I$89,3,0)*VLOOKUP('Données projet'!$B$10,Paramètres!$A$1:$I$89,5,0)</f>
        <v>219.81960000000004</v>
      </c>
      <c r="AK53" s="14">
        <f t="shared" si="35"/>
        <v>54.075674800133456</v>
      </c>
      <c r="AL53" s="22">
        <f t="shared" si="4"/>
        <v>477.03427027689918</v>
      </c>
      <c r="AM53" s="62">
        <f t="shared" si="5"/>
        <v>770.36760361023244</v>
      </c>
      <c r="AN53" s="62">
        <f ca="1">AVERAGE(OFFSET($AM$3,0,0,'Données projet'!$E$10+1,1))-AVERAGE(OFFSET($H$3,0,0,'Données projet'!$E$10+1,1))</f>
        <v>449.16408464351673</v>
      </c>
      <c r="AO53" s="62">
        <f t="shared" si="36"/>
        <v>290.39826583283588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28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1.1990356473807227E-2</v>
      </c>
      <c r="AX53" s="23">
        <f t="shared" si="6"/>
        <v>1.1990356473807227E-2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231</v>
      </c>
      <c r="BB53" s="13">
        <f>VLOOKUP(A53,'Données projet'!$A$87:$I$107,9,0)</f>
        <v>11</v>
      </c>
      <c r="BC53" s="13">
        <f t="array" ref="BC53">INDEX(BB:BB,MIN(IF(ISNUMBER(BB53:BB249),ROW(BB53:BB249),"")))</f>
        <v>11</v>
      </c>
      <c r="BD53" s="13">
        <f>IF('Données projet'!$A$88&gt;35,BD52+BC53-BL52,IF(A53&lt;'Données projet'!$A$88,$BA$205^A53,IF(A53='Données projet'!$A$88,'Données projet'!$B$88,BD52+BC53-BL52)))</f>
        <v>231.00000000000003</v>
      </c>
      <c r="BE53" s="14">
        <f>BD53*VLOOKUP('Données projet'!$B$11,Paramètres!$A$1:$I$89,3,0)*VLOOKUP('Données projet'!$B$11,Paramètres!$A$1:$I$89,5,0)</f>
        <v>223.42320000000004</v>
      </c>
      <c r="BF53" s="14">
        <f t="shared" si="37"/>
        <v>54.858231422257631</v>
      </c>
      <c r="BG53" s="22">
        <f t="shared" si="7"/>
        <v>484.67349306043207</v>
      </c>
      <c r="BH53" s="62">
        <f t="shared" si="8"/>
        <v>778.00682639376532</v>
      </c>
      <c r="BI53" s="62">
        <f ca="1">AVERAGE(OFFSET($BH$3,0,0,'Données projet'!$E$11+1,1))-AVERAGE(OFFSET($H$3,0,0,'Données projet'!$E$11+1,1))</f>
        <v>455.85294519779609</v>
      </c>
      <c r="BJ53" s="62">
        <f t="shared" si="38"/>
        <v>294.45557293177131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28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1.2186919694689309E-2</v>
      </c>
      <c r="BS53" s="24">
        <f t="shared" si="9"/>
        <v>1.2186919694689309E-2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252</v>
      </c>
      <c r="BW53" s="13">
        <f>VLOOKUP(A53,'Données projet'!$A$113:$I$133,9,0)</f>
        <v>9.6</v>
      </c>
      <c r="BX53" s="13">
        <f t="array" ref="BX53">INDEX(BW:BW,MIN(IF(ISNUMBER(BW53:BW249),ROW(BW53:BW249),"")))</f>
        <v>9.6</v>
      </c>
      <c r="BY53" s="13">
        <f>IF('Données projet'!$A$114&gt;35,BY52+BX53-CG52,IF(A53&lt;'Données projet'!$A$114,$BV$205^A53,IF(A53='Données projet'!$A$114,'Données projet'!$B$114,BY52+BX53-CG52)))</f>
        <v>252.00000000000009</v>
      </c>
      <c r="BZ53" s="14">
        <f>BY53*VLOOKUP('Données projet'!$B$12,Paramètres!$A$1:$I$89,3,0)*VLOOKUP('Données projet'!$B$12,Paramètres!$A$1:$I$89,5,0)</f>
        <v>220.14720000000011</v>
      </c>
      <c r="CA53" s="14">
        <f t="shared" si="39"/>
        <v>54.146877667769687</v>
      </c>
      <c r="CB53" s="22">
        <f t="shared" si="10"/>
        <v>477.72885193803239</v>
      </c>
      <c r="CC53" s="62">
        <f t="shared" si="11"/>
        <v>771.06218527136571</v>
      </c>
      <c r="CD53" s="62">
        <f ca="1">AVERAGE(OFFSET($CC$3,0,0,'Données projet'!$E$12+1,1))-AVERAGE(OFFSET($H$3,0,0,'Données projet'!$E$12+1,1))</f>
        <v>304.32767345253382</v>
      </c>
      <c r="CE53" s="62">
        <f t="shared" si="40"/>
        <v>427.16091343339173</v>
      </c>
      <c r="CF53" s="16">
        <f>IF(ISNA(VLOOKUP(A53,'Données projet'!$A$113:$I$133,3,0)),0,VLOOKUP(A53,'Données projet'!$A$113:$I$133,3,0))</f>
        <v>8</v>
      </c>
      <c r="CG53" s="16">
        <f>IF(ISNA(VLOOKUP(A53,'Données projet'!$A$113:$I$133,4,0)),0,VLOOKUP(A53,'Données projet'!$A$113:$I$133,4,0))</f>
        <v>37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-5.6843418860808015E-14</v>
      </c>
      <c r="CU53" s="18">
        <f>CT53*VLOOKUP('Données projet'!$B$13,Paramètres!$A$1:$I$89,3,0)*VLOOKUP('Données projet'!$B$13,Paramètres!$A$1:$I$89,5,0)</f>
        <v>-5.1431925385259088E-14</v>
      </c>
      <c r="CV53" s="14" t="e">
        <f t="shared" si="41"/>
        <v>#NUM!</v>
      </c>
      <c r="CW53" s="22" t="e">
        <f t="shared" si="13"/>
        <v>#NUM!</v>
      </c>
      <c r="CX53" s="62" t="e">
        <f t="shared" si="14"/>
        <v>#NUM!</v>
      </c>
      <c r="CY53" s="62">
        <f ca="1">AVERAGE(OFFSET($CX$3,0,0,'Données projet'!$E$13+1,1))-AVERAGE(OFFSET($H$3,0,0,'Données projet'!$E$13+1,1))</f>
        <v>350.06545824795847</v>
      </c>
      <c r="CZ53" s="62">
        <f t="shared" si="42"/>
        <v>513.80016421153414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231</v>
      </c>
      <c r="DM53" s="13">
        <f>VLOOKUP(A53,'Données projet'!$A$165:$I$185,9,0)</f>
        <v>11</v>
      </c>
      <c r="DN53" s="13">
        <f t="array" ref="DN53">INDEX(DM:DM,MIN(IF(ISNUMBER(DM53:DM249),ROW(DM53:DM249),"")))</f>
        <v>11</v>
      </c>
      <c r="DO53" s="13">
        <f>IF('Données projet'!$A$166&gt;35,DO52+DN53-DW52,IF(A53&lt;'Données projet'!$A$166,$DL$205^A53,IF(A53='Données projet'!$A$166,'Données projet'!$B$166,DO52+DN53-DW52)))</f>
        <v>231.00000000000003</v>
      </c>
      <c r="DP53" s="18">
        <f>DO53*VLOOKUP('Données projet'!$B$14,Paramètres!$A$1:$I$89,3,0)*VLOOKUP('Données projet'!$B$14,Paramètres!$A$1:$I$89,5,0)</f>
        <v>183.78360000000004</v>
      </c>
      <c r="DQ53" s="14">
        <f t="shared" si="43"/>
        <v>46.162945619894302</v>
      </c>
      <c r="DR53" s="22">
        <f t="shared" si="16"/>
        <v>400.49023362131589</v>
      </c>
      <c r="DS53" s="62">
        <f t="shared" si="17"/>
        <v>693.82356695464921</v>
      </c>
      <c r="DT53" s="62">
        <f ca="1">AVERAGE(OFFSET($DS$3,0,0,'Données projet'!$E$14+1,1))-AVERAGE(OFFSET($H$3,0,0,'Données projet'!$E$14+1,1))</f>
        <v>382.14353215900121</v>
      </c>
      <c r="DU53" s="62">
        <f t="shared" si="44"/>
        <v>249.73945975250177</v>
      </c>
      <c r="DV53" s="16">
        <f>IF(ISNA(VLOOKUP(A53,'Données projet'!$A$165:$I$185,3,0)),0,VLOOKUP(A53,'Données projet'!$A$165:$I$185,3,0))</f>
        <v>7</v>
      </c>
      <c r="DW53" s="16">
        <f>IF(ISNA(VLOOKUP(A53,'Données projet'!$A$165:$I$185,4,0)),0,VLOOKUP(A53,'Données projet'!$A$165:$I$185,4,0))</f>
        <v>28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1.0024724264986372E-2</v>
      </c>
      <c r="ED53" s="24">
        <f t="shared" si="18"/>
        <v>1.0024724264986372E-2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10.199999999999999</v>
      </c>
      <c r="N54" s="14">
        <f>IF('Données projet'!$A$36&gt;35,N53+M54-V53,IF(A54&lt;'Données projet'!$A$36,$K$205^A54,IF(A54='Données projet'!$A$36,'Données projet'!$B$36,N53+M54-V53)))</f>
        <v>213.20000000000002</v>
      </c>
      <c r="O54" s="14">
        <f>N54*VLOOKUP('Données projet'!$B$9,Paramètres!$A$1:$I$89,3,0)*VLOOKUP('Données projet'!$B$9,Paramètres!$A$1:$I$89,5,0)</f>
        <v>192.90336000000002</v>
      </c>
      <c r="P54" s="14">
        <f t="shared" si="33"/>
        <v>48.181276881765257</v>
      </c>
      <c r="Q54" s="22">
        <f t="shared" si="53"/>
        <v>419.88907590240791</v>
      </c>
      <c r="R54" s="62">
        <f t="shared" si="0"/>
        <v>713.22240923574122</v>
      </c>
      <c r="S54" s="62">
        <f ca="1">AVERAGE(OFFSET($R$3,0,0,'Données projet'!$E$9+1,1))-AVERAGE(OFFSET($H$3,0,0,'Données projet'!$E$9+1,1))</f>
        <v>429.08375622925655</v>
      </c>
      <c r="T54" s="62">
        <f t="shared" si="34"/>
        <v>278.21741231699929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8.0614888122203295E-3</v>
      </c>
      <c r="AC54" s="24">
        <f t="shared" si="3"/>
        <v>8.0614888122203295E-3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10.199999999999999</v>
      </c>
      <c r="AI54" s="14">
        <f>IF('Données projet'!$A$62&gt;35,AI53+AH54-AQ53,IF(A54&lt;'Données projet'!$A$62,$AF$205^A54,IF(A54='Données projet'!$A$62,'Données projet'!$B$62,AI53+AH54-AQ53)))</f>
        <v>213.20000000000002</v>
      </c>
      <c r="AJ54" s="14">
        <f>AI54*VLOOKUP('Données projet'!$B$10,Paramètres!$A$1:$I$89,3,0)*VLOOKUP('Données projet'!$B$10,Paramètres!$A$1:$I$89,5,0)</f>
        <v>202.88112000000004</v>
      </c>
      <c r="AK54" s="14">
        <f t="shared" si="35"/>
        <v>50.376822658563356</v>
      </c>
      <c r="AL54" s="22">
        <f t="shared" si="4"/>
        <v>441.09091679699787</v>
      </c>
      <c r="AM54" s="62">
        <f t="shared" si="5"/>
        <v>734.42425013033119</v>
      </c>
      <c r="AN54" s="62">
        <f ca="1">AVERAGE(OFFSET($AM$3,0,0,'Données projet'!$E$10+1,1))-AVERAGE(OFFSET($H$3,0,0,'Données projet'!$E$10+1,1))</f>
        <v>449.16408464351673</v>
      </c>
      <c r="AO54" s="62">
        <f t="shared" si="36"/>
        <v>290.39826583283588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8.4784623714731101E-3</v>
      </c>
      <c r="AX54" s="23">
        <f t="shared" si="6"/>
        <v>8.4784623714731101E-3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10.199999999999999</v>
      </c>
      <c r="BD54" s="13">
        <f>IF('Données projet'!$A$88&gt;35,BD53+BC54-BL53,IF(A54&lt;'Données projet'!$A$88,$BA$205^A54,IF(A54='Données projet'!$A$88,'Données projet'!$B$88,BD53+BC54-BL53)))</f>
        <v>213.20000000000002</v>
      </c>
      <c r="BE54" s="14">
        <f>BD54*VLOOKUP('Données projet'!$B$11,Paramètres!$A$1:$I$89,3,0)*VLOOKUP('Données projet'!$B$11,Paramètres!$A$1:$I$89,5,0)</f>
        <v>206.20704000000001</v>
      </c>
      <c r="BF54" s="14">
        <f t="shared" si="37"/>
        <v>51.105851308113081</v>
      </c>
      <c r="BG54" s="22">
        <f t="shared" si="7"/>
        <v>448.15328569496359</v>
      </c>
      <c r="BH54" s="62">
        <f t="shared" si="8"/>
        <v>741.4866190282969</v>
      </c>
      <c r="BI54" s="62">
        <f ca="1">AVERAGE(OFFSET($BH$3,0,0,'Données projet'!$E$11+1,1))-AVERAGE(OFFSET($H$3,0,0,'Données projet'!$E$11+1,1))</f>
        <v>455.85294519779609</v>
      </c>
      <c r="BJ54" s="62">
        <f t="shared" si="38"/>
        <v>294.45557293177131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8.6174535578906995E-3</v>
      </c>
      <c r="BS54" s="24">
        <f t="shared" si="9"/>
        <v>8.6174535578906995E-3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8.6</v>
      </c>
      <c r="BY54" s="13">
        <f>IF('Données projet'!$A$114&gt;35,BY53+BX54-CG53,IF(A54&lt;'Données projet'!$A$114,$BV$205^A54,IF(A54='Données projet'!$A$114,'Données projet'!$B$114,BY53+BX54-CG53)))</f>
        <v>223.60000000000008</v>
      </c>
      <c r="BZ54" s="14">
        <f>BY54*VLOOKUP('Données projet'!$B$12,Paramètres!$A$1:$I$89,3,0)*VLOOKUP('Données projet'!$B$12,Paramètres!$A$1:$I$89,5,0)</f>
        <v>195.33696000000009</v>
      </c>
      <c r="CA54" s="14">
        <f t="shared" si="39"/>
        <v>48.717969863105488</v>
      </c>
      <c r="CB54" s="22">
        <f t="shared" si="10"/>
        <v>425.06233617824211</v>
      </c>
      <c r="CC54" s="62">
        <f t="shared" si="11"/>
        <v>718.39566951157542</v>
      </c>
      <c r="CD54" s="62">
        <f ca="1">AVERAGE(OFFSET($CC$3,0,0,'Données projet'!$E$12+1,1))-AVERAGE(OFFSET($H$3,0,0,'Données projet'!$E$12+1,1))</f>
        <v>304.32767345253382</v>
      </c>
      <c r="CE54" s="62">
        <f t="shared" si="40"/>
        <v>427.16091343339173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-5.6843418860808015E-14</v>
      </c>
      <c r="CU54" s="18">
        <f>CT54*VLOOKUP('Données projet'!$B$13,Paramètres!$A$1:$I$89,3,0)*VLOOKUP('Données projet'!$B$13,Paramètres!$A$1:$I$89,5,0)</f>
        <v>-5.1431925385259088E-14</v>
      </c>
      <c r="CV54" s="14" t="e">
        <f t="shared" si="41"/>
        <v>#NUM!</v>
      </c>
      <c r="CW54" s="22" t="e">
        <f t="shared" si="13"/>
        <v>#NUM!</v>
      </c>
      <c r="CX54" s="62" t="e">
        <f t="shared" si="14"/>
        <v>#NUM!</v>
      </c>
      <c r="CY54" s="62">
        <f ca="1">AVERAGE(OFFSET($CX$3,0,0,'Données projet'!$E$13+1,1))-AVERAGE(OFFSET($H$3,0,0,'Données projet'!$E$13+1,1))</f>
        <v>350.06545824795847</v>
      </c>
      <c r="CZ54" s="62">
        <f t="shared" si="42"/>
        <v>513.80016421153414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10.199999999999999</v>
      </c>
      <c r="DO54" s="13">
        <f>IF('Données projet'!$A$166&gt;35,DO53+DN54-DW53,IF(A54&lt;'Données projet'!$A$166,$DL$205^A54,IF(A54='Données projet'!$A$166,'Données projet'!$B$166,DO53+DN54-DW53)))</f>
        <v>213.20000000000002</v>
      </c>
      <c r="DP54" s="18">
        <f>DO54*VLOOKUP('Données projet'!$B$14,Paramètres!$A$1:$I$89,3,0)*VLOOKUP('Données projet'!$B$14,Paramètres!$A$1:$I$89,5,0)</f>
        <v>169.62192000000002</v>
      </c>
      <c r="DQ54" s="14">
        <f t="shared" si="43"/>
        <v>43.005335272941949</v>
      </c>
      <c r="DR54" s="22">
        <f t="shared" si="16"/>
        <v>370.32580293370728</v>
      </c>
      <c r="DS54" s="62">
        <f t="shared" si="17"/>
        <v>663.65913626704059</v>
      </c>
      <c r="DT54" s="62">
        <f ca="1">AVERAGE(OFFSET($DS$3,0,0,'Données projet'!$E$14+1,1))-AVERAGE(OFFSET($H$3,0,0,'Données projet'!$E$14+1,1))</f>
        <v>382.14353215900121</v>
      </c>
      <c r="DU54" s="62">
        <f t="shared" si="44"/>
        <v>249.73945975250177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7.088550507297192E-3</v>
      </c>
      <c r="ED54" s="24">
        <f t="shared" si="18"/>
        <v>7.088550507297192E-3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10.199999999999999</v>
      </c>
      <c r="N55" s="14">
        <f>IF('Données projet'!$A$36&gt;35,N54+M55-V54,IF(A55&lt;'Données projet'!$A$36,$K$205^A55,IF(A55='Données projet'!$A$36,'Données projet'!$B$36,N54+M55-V54)))</f>
        <v>223.4</v>
      </c>
      <c r="O55" s="14">
        <f>N55*VLOOKUP('Données projet'!$B$9,Paramètres!$A$1:$I$89,3,0)*VLOOKUP('Données projet'!$B$9,Paramètres!$A$1:$I$89,5,0)</f>
        <v>202.13232000000002</v>
      </c>
      <c r="P55" s="14">
        <f t="shared" si="33"/>
        <v>50.212497488959627</v>
      </c>
      <c r="Q55" s="22">
        <f t="shared" si="53"/>
        <v>439.50055712660469</v>
      </c>
      <c r="R55" s="62">
        <f t="shared" si="0"/>
        <v>732.83389045993795</v>
      </c>
      <c r="S55" s="62">
        <f ca="1">AVERAGE(OFFSET($R$3,0,0,'Données projet'!$E$9+1,1))-AVERAGE(OFFSET($H$3,0,0,'Données projet'!$E$9+1,1))</f>
        <v>429.08375622925655</v>
      </c>
      <c r="T55" s="62">
        <f t="shared" si="34"/>
        <v>278.21741231699929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5.7003334055804817E-3</v>
      </c>
      <c r="AC55" s="24">
        <f t="shared" si="3"/>
        <v>5.7003334055804817E-3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10.199999999999999</v>
      </c>
      <c r="AI55" s="14">
        <f>IF('Données projet'!$A$62&gt;35,AI54+AH55-AQ54,IF(A55&lt;'Données projet'!$A$62,$AF$205^A55,IF(A55='Données projet'!$A$62,'Données projet'!$B$62,AI54+AH55-AQ54)))</f>
        <v>223.4</v>
      </c>
      <c r="AJ55" s="14">
        <f>AI55*VLOOKUP('Données projet'!$B$10,Paramètres!$A$1:$I$89,3,0)*VLOOKUP('Données projet'!$B$10,Paramètres!$A$1:$I$89,5,0)</f>
        <v>212.58744000000002</v>
      </c>
      <c r="AK55" s="14">
        <f t="shared" si="35"/>
        <v>52.500602826535129</v>
      </c>
      <c r="AL55" s="22">
        <f t="shared" si="4"/>
        <v>461.69500792288198</v>
      </c>
      <c r="AM55" s="62">
        <f t="shared" si="5"/>
        <v>755.0283412562153</v>
      </c>
      <c r="AN55" s="62">
        <f ca="1">AVERAGE(OFFSET($AM$3,0,0,'Données projet'!$E$10+1,1))-AVERAGE(OFFSET($H$3,0,0,'Données projet'!$E$10+1,1))</f>
        <v>449.16408464351673</v>
      </c>
      <c r="AO55" s="62">
        <f t="shared" si="36"/>
        <v>290.39826583283588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5.9951782369036134E-3</v>
      </c>
      <c r="AX55" s="23">
        <f t="shared" si="6"/>
        <v>5.9951782369036134E-3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10.199999999999999</v>
      </c>
      <c r="BD55" s="13">
        <f>IF('Données projet'!$A$88&gt;35,BD54+BC55-BL54,IF(A55&lt;'Données projet'!$A$88,$BA$205^A55,IF(A55='Données projet'!$A$88,'Données projet'!$B$88,BD54+BC55-BL54)))</f>
        <v>223.4</v>
      </c>
      <c r="BE55" s="14">
        <f>BD55*VLOOKUP('Données projet'!$B$11,Paramètres!$A$1:$I$89,3,0)*VLOOKUP('Données projet'!$B$11,Paramètres!$A$1:$I$89,5,0)</f>
        <v>216.07248000000001</v>
      </c>
      <c r="BF55" s="14">
        <f t="shared" si="37"/>
        <v>53.260365780197098</v>
      </c>
      <c r="BG55" s="22">
        <f t="shared" si="7"/>
        <v>469.08803973384329</v>
      </c>
      <c r="BH55" s="62">
        <f t="shared" si="8"/>
        <v>762.42137306717655</v>
      </c>
      <c r="BI55" s="62">
        <f ca="1">AVERAGE(OFFSET($BH$3,0,0,'Données projet'!$E$11+1,1))-AVERAGE(OFFSET($H$3,0,0,'Données projet'!$E$11+1,1))</f>
        <v>455.85294519779609</v>
      </c>
      <c r="BJ55" s="62">
        <f t="shared" si="38"/>
        <v>294.45557293177131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6.0934598473446544E-3</v>
      </c>
      <c r="BS55" s="24">
        <f t="shared" si="9"/>
        <v>6.0934598473446544E-3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8.6</v>
      </c>
      <c r="BY55" s="13">
        <f>IF('Données projet'!$A$114&gt;35,BY54+BX55-CG54,IF(A55&lt;'Données projet'!$A$114,$BV$205^A55,IF(A55='Données projet'!$A$114,'Données projet'!$B$114,BY54+BX55-CG54)))</f>
        <v>232.20000000000007</v>
      </c>
      <c r="BZ55" s="14">
        <f>BY55*VLOOKUP('Données projet'!$B$12,Paramètres!$A$1:$I$89,3,0)*VLOOKUP('Données projet'!$B$12,Paramètres!$A$1:$I$89,5,0)</f>
        <v>202.84992000000011</v>
      </c>
      <c r="CA55" s="14">
        <f t="shared" si="39"/>
        <v>50.369977187686075</v>
      </c>
      <c r="CB55" s="22">
        <f t="shared" si="10"/>
        <v>441.02465426855338</v>
      </c>
      <c r="CC55" s="62">
        <f t="shared" si="11"/>
        <v>734.35798760188663</v>
      </c>
      <c r="CD55" s="62">
        <f ca="1">AVERAGE(OFFSET($CC$3,0,0,'Données projet'!$E$12+1,1))-AVERAGE(OFFSET($H$3,0,0,'Données projet'!$E$12+1,1))</f>
        <v>304.32767345253382</v>
      </c>
      <c r="CE55" s="62">
        <f t="shared" si="40"/>
        <v>427.16091343339173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-5.6843418860808015E-14</v>
      </c>
      <c r="CU55" s="18">
        <f>CT55*VLOOKUP('Données projet'!$B$13,Paramètres!$A$1:$I$89,3,0)*VLOOKUP('Données projet'!$B$13,Paramètres!$A$1:$I$89,5,0)</f>
        <v>-5.1431925385259088E-14</v>
      </c>
      <c r="CV55" s="14" t="e">
        <f t="shared" si="41"/>
        <v>#NUM!</v>
      </c>
      <c r="CW55" s="22" t="e">
        <f t="shared" si="13"/>
        <v>#NUM!</v>
      </c>
      <c r="CX55" s="62" t="e">
        <f t="shared" si="14"/>
        <v>#NUM!</v>
      </c>
      <c r="CY55" s="62">
        <f ca="1">AVERAGE(OFFSET($CX$3,0,0,'Données projet'!$E$13+1,1))-AVERAGE(OFFSET($H$3,0,0,'Données projet'!$E$13+1,1))</f>
        <v>350.06545824795847</v>
      </c>
      <c r="CZ55" s="62">
        <f t="shared" si="42"/>
        <v>513.80016421153414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10.199999999999999</v>
      </c>
      <c r="DO55" s="13">
        <f>IF('Données projet'!$A$166&gt;35,DO54+DN55-DW54,IF(A55&lt;'Données projet'!$A$166,$DL$205^A55,IF(A55='Données projet'!$A$166,'Données projet'!$B$166,DO54+DN55-DW54)))</f>
        <v>223.4</v>
      </c>
      <c r="DP55" s="18">
        <f>DO55*VLOOKUP('Données projet'!$B$14,Paramètres!$A$1:$I$89,3,0)*VLOOKUP('Données projet'!$B$14,Paramètres!$A$1:$I$89,5,0)</f>
        <v>177.73704000000004</v>
      </c>
      <c r="DQ55" s="14">
        <f t="shared" si="43"/>
        <v>44.818349142210366</v>
      </c>
      <c r="DR55" s="22">
        <f t="shared" si="16"/>
        <v>387.61730275601644</v>
      </c>
      <c r="DS55" s="62">
        <f t="shared" si="17"/>
        <v>680.9506360893497</v>
      </c>
      <c r="DT55" s="62">
        <f ca="1">AVERAGE(OFFSET($DS$3,0,0,'Données projet'!$E$14+1,1))-AVERAGE(OFFSET($H$3,0,0,'Données projet'!$E$14+1,1))</f>
        <v>382.14353215900121</v>
      </c>
      <c r="DU55" s="62">
        <f t="shared" si="44"/>
        <v>249.73945975250177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5.0123621324931859E-3</v>
      </c>
      <c r="ED55" s="24">
        <f t="shared" si="18"/>
        <v>5.0123621324931859E-3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10.199999999999999</v>
      </c>
      <c r="N56" s="14">
        <f>IF('Données projet'!$A$36&gt;35,N55+M56-V55,IF(A56&lt;'Données projet'!$A$36,$K$205^A56,IF(A56='Données projet'!$A$36,'Données projet'!$B$36,N55+M56-V55)))</f>
        <v>233.6</v>
      </c>
      <c r="O56" s="14">
        <f>N56*VLOOKUP('Données projet'!$B$9,Paramètres!$A$1:$I$89,3,0)*VLOOKUP('Données projet'!$B$9,Paramètres!$A$1:$I$89,5,0)</f>
        <v>211.36127999999999</v>
      </c>
      <c r="P56" s="14">
        <f t="shared" si="33"/>
        <v>52.232947669705631</v>
      </c>
      <c r="Q56" s="22">
        <f t="shared" si="53"/>
        <v>459.09327985807062</v>
      </c>
      <c r="R56" s="62">
        <f t="shared" si="0"/>
        <v>752.42661319140393</v>
      </c>
      <c r="S56" s="62">
        <f ca="1">AVERAGE(OFFSET($R$3,0,0,'Données projet'!$E$9+1,1))-AVERAGE(OFFSET($H$3,0,0,'Données projet'!$E$9+1,1))</f>
        <v>429.08375622925655</v>
      </c>
      <c r="T56" s="62">
        <f t="shared" si="34"/>
        <v>278.21741231699929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4.0307444061101648E-3</v>
      </c>
      <c r="AC56" s="24">
        <f t="shared" si="3"/>
        <v>4.0307444061101648E-3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10.199999999999999</v>
      </c>
      <c r="AI56" s="14">
        <f>IF('Données projet'!$A$62&gt;35,AI55+AH56-AQ55,IF(A56&lt;'Données projet'!$A$62,$AF$205^A56,IF(A56='Données projet'!$A$62,'Données projet'!$B$62,AI55+AH56-AQ55)))</f>
        <v>233.6</v>
      </c>
      <c r="AJ56" s="14">
        <f>AI56*VLOOKUP('Données projet'!$B$10,Paramètres!$A$1:$I$89,3,0)*VLOOKUP('Données projet'!$B$10,Paramètres!$A$1:$I$89,5,0)</f>
        <v>222.29375999999999</v>
      </c>
      <c r="AK56" s="14">
        <f t="shared" si="35"/>
        <v>54.613121776493159</v>
      </c>
      <c r="AL56" s="22">
        <f t="shared" si="4"/>
        <v>482.27948576072555</v>
      </c>
      <c r="AM56" s="62">
        <f t="shared" si="5"/>
        <v>775.61281909405886</v>
      </c>
      <c r="AN56" s="62">
        <f ca="1">AVERAGE(OFFSET($AM$3,0,0,'Données projet'!$E$10+1,1))-AVERAGE(OFFSET($H$3,0,0,'Données projet'!$E$10+1,1))</f>
        <v>449.16408464351673</v>
      </c>
      <c r="AO56" s="62">
        <f t="shared" si="36"/>
        <v>290.39826583283588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4.239231185736555E-3</v>
      </c>
      <c r="AX56" s="23">
        <f t="shared" si="6"/>
        <v>4.239231185736555E-3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10.199999999999999</v>
      </c>
      <c r="BD56" s="13">
        <f>IF('Données projet'!$A$88&gt;35,BD55+BC56-BL55,IF(A56&lt;'Données projet'!$A$88,$BA$205^A56,IF(A56='Données projet'!$A$88,'Données projet'!$B$88,BD55+BC56-BL55)))</f>
        <v>233.6</v>
      </c>
      <c r="BE56" s="14">
        <f>BD56*VLOOKUP('Données projet'!$B$11,Paramètres!$A$1:$I$89,3,0)*VLOOKUP('Données projet'!$B$11,Paramètres!$A$1:$I$89,5,0)</f>
        <v>225.93791999999999</v>
      </c>
      <c r="BF56" s="14">
        <f t="shared" si="37"/>
        <v>55.403456067447962</v>
      </c>
      <c r="BG56" s="22">
        <f t="shared" si="7"/>
        <v>490.00289665080521</v>
      </c>
      <c r="BH56" s="62">
        <f t="shared" si="8"/>
        <v>783.33622998413853</v>
      </c>
      <c r="BI56" s="62">
        <f ca="1">AVERAGE(OFFSET($BH$3,0,0,'Données projet'!$E$11+1,1))-AVERAGE(OFFSET($H$3,0,0,'Données projet'!$E$11+1,1))</f>
        <v>455.85294519779609</v>
      </c>
      <c r="BJ56" s="62">
        <f t="shared" si="38"/>
        <v>294.45557293177131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4.3087267789453498E-3</v>
      </c>
      <c r="BS56" s="24">
        <f t="shared" si="9"/>
        <v>4.3087267789453498E-3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8.6</v>
      </c>
      <c r="BY56" s="13">
        <f>IF('Données projet'!$A$114&gt;35,BY55+BX56-CG55,IF(A56&lt;'Données projet'!$A$114,$BV$205^A56,IF(A56='Données projet'!$A$114,'Données projet'!$B$114,BY55+BX56-CG55)))</f>
        <v>240.80000000000007</v>
      </c>
      <c r="BZ56" s="14">
        <f>BY56*VLOOKUP('Données projet'!$B$12,Paramètres!$A$1:$I$89,3,0)*VLOOKUP('Données projet'!$B$12,Paramètres!$A$1:$I$89,5,0)</f>
        <v>210.36288000000008</v>
      </c>
      <c r="CA56" s="14">
        <f t="shared" si="39"/>
        <v>52.014876138342963</v>
      </c>
      <c r="CB56" s="22">
        <f t="shared" si="10"/>
        <v>456.97459194094745</v>
      </c>
      <c r="CC56" s="62">
        <f t="shared" si="11"/>
        <v>750.30792527428071</v>
      </c>
      <c r="CD56" s="62">
        <f ca="1">AVERAGE(OFFSET($CC$3,0,0,'Données projet'!$E$12+1,1))-AVERAGE(OFFSET($H$3,0,0,'Données projet'!$E$12+1,1))</f>
        <v>304.32767345253382</v>
      </c>
      <c r="CE56" s="62">
        <f t="shared" si="40"/>
        <v>427.16091343339173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-5.6843418860808015E-14</v>
      </c>
      <c r="CU56" s="18">
        <f>CT56*VLOOKUP('Données projet'!$B$13,Paramètres!$A$1:$I$89,3,0)*VLOOKUP('Données projet'!$B$13,Paramètres!$A$1:$I$89,5,0)</f>
        <v>-5.1431925385259088E-14</v>
      </c>
      <c r="CV56" s="14" t="e">
        <f t="shared" si="41"/>
        <v>#NUM!</v>
      </c>
      <c r="CW56" s="22" t="e">
        <f t="shared" si="13"/>
        <v>#NUM!</v>
      </c>
      <c r="CX56" s="62" t="e">
        <f t="shared" si="14"/>
        <v>#NUM!</v>
      </c>
      <c r="CY56" s="62">
        <f ca="1">AVERAGE(OFFSET($CX$3,0,0,'Données projet'!$E$13+1,1))-AVERAGE(OFFSET($H$3,0,0,'Données projet'!$E$13+1,1))</f>
        <v>350.06545824795847</v>
      </c>
      <c r="CZ56" s="62">
        <f t="shared" si="42"/>
        <v>513.80016421153414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10.199999999999999</v>
      </c>
      <c r="DO56" s="13">
        <f>IF('Données projet'!$A$166&gt;35,DO55+DN56-DW55,IF(A56&lt;'Données projet'!$A$166,$DL$205^A56,IF(A56='Données projet'!$A$166,'Données projet'!$B$166,DO55+DN56-DW55)))</f>
        <v>233.6</v>
      </c>
      <c r="DP56" s="18">
        <f>DO56*VLOOKUP('Données projet'!$B$14,Paramètres!$A$1:$I$89,3,0)*VLOOKUP('Données projet'!$B$14,Paramètres!$A$1:$I$89,5,0)</f>
        <v>185.85216</v>
      </c>
      <c r="DQ56" s="14">
        <f t="shared" si="43"/>
        <v>46.621749613278887</v>
      </c>
      <c r="DR56" s="22">
        <f t="shared" si="16"/>
        <v>404.89205924312733</v>
      </c>
      <c r="DS56" s="62">
        <f t="shared" si="17"/>
        <v>698.22539257646065</v>
      </c>
      <c r="DT56" s="62">
        <f ca="1">AVERAGE(OFFSET($DS$3,0,0,'Données projet'!$E$14+1,1))-AVERAGE(OFFSET($H$3,0,0,'Données projet'!$E$14+1,1))</f>
        <v>382.14353215900121</v>
      </c>
      <c r="DU56" s="62">
        <f t="shared" si="44"/>
        <v>249.73945975250177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3.544275253648596E-3</v>
      </c>
      <c r="ED56" s="24">
        <f t="shared" si="18"/>
        <v>3.544275253648596E-3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10.199999999999999</v>
      </c>
      <c r="N57" s="14">
        <f>IF('Données projet'!$A$36&gt;35,N56+M57-V56,IF(A57&lt;'Données projet'!$A$36,$K$205^A57,IF(A57='Données projet'!$A$36,'Données projet'!$B$36,N56+M57-V56)))</f>
        <v>243.79999999999998</v>
      </c>
      <c r="O57" s="14">
        <f>N57*VLOOKUP('Données projet'!$B$9,Paramètres!$A$1:$I$89,3,0)*VLOOKUP('Données projet'!$B$9,Paramètres!$A$1:$I$89,5,0)</f>
        <v>220.59023999999997</v>
      </c>
      <c r="P57" s="14">
        <f t="shared" si="33"/>
        <v>54.24315145708789</v>
      </c>
      <c r="Q57" s="22">
        <f t="shared" si="53"/>
        <v>478.66815678776129</v>
      </c>
      <c r="R57" s="62">
        <f t="shared" si="0"/>
        <v>772.00149012109455</v>
      </c>
      <c r="S57" s="62">
        <f ca="1">AVERAGE(OFFSET($R$3,0,0,'Données projet'!$E$9+1,1))-AVERAGE(OFFSET($H$3,0,0,'Données projet'!$E$9+1,1))</f>
        <v>429.08375622925655</v>
      </c>
      <c r="T57" s="62">
        <f t="shared" si="34"/>
        <v>278.21741231699929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2.8501667027902408E-3</v>
      </c>
      <c r="AC57" s="24">
        <f t="shared" si="3"/>
        <v>2.8501667027902408E-3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10.199999999999999</v>
      </c>
      <c r="AI57" s="14">
        <f>IF('Données projet'!$A$62&gt;35,AI56+AH57-AQ56,IF(A57&lt;'Données projet'!$A$62,$AF$205^A57,IF(A57='Données projet'!$A$62,'Données projet'!$B$62,AI56+AH57-AQ56)))</f>
        <v>243.79999999999998</v>
      </c>
      <c r="AJ57" s="14">
        <f>AI57*VLOOKUP('Données projet'!$B$10,Paramètres!$A$1:$I$89,3,0)*VLOOKUP('Données projet'!$B$10,Paramètres!$A$1:$I$89,5,0)</f>
        <v>232.00008</v>
      </c>
      <c r="AK57" s="14">
        <f t="shared" si="35"/>
        <v>56.714927420893837</v>
      </c>
      <c r="AL57" s="22">
        <f t="shared" si="4"/>
        <v>502.84530459139</v>
      </c>
      <c r="AM57" s="62">
        <f t="shared" si="5"/>
        <v>796.17863792472326</v>
      </c>
      <c r="AN57" s="62">
        <f ca="1">AVERAGE(OFFSET($AM$3,0,0,'Données projet'!$E$10+1,1))-AVERAGE(OFFSET($H$3,0,0,'Données projet'!$E$10+1,1))</f>
        <v>449.16408464351673</v>
      </c>
      <c r="AO57" s="62">
        <f t="shared" si="36"/>
        <v>290.39826583283588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2.9975891184518067E-3</v>
      </c>
      <c r="AX57" s="23">
        <f t="shared" si="6"/>
        <v>2.9975891184518067E-3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10.199999999999999</v>
      </c>
      <c r="BD57" s="13">
        <f>IF('Données projet'!$A$88&gt;35,BD56+BC57-BL56,IF(A57&lt;'Données projet'!$A$88,$BA$205^A57,IF(A57='Données projet'!$A$88,'Données projet'!$B$88,BD56+BC57-BL56)))</f>
        <v>243.79999999999998</v>
      </c>
      <c r="BE57" s="14">
        <f>BD57*VLOOKUP('Données projet'!$B$11,Paramètres!$A$1:$I$89,3,0)*VLOOKUP('Données projet'!$B$11,Paramètres!$A$1:$I$89,5,0)</f>
        <v>235.80335999999997</v>
      </c>
      <c r="BF57" s="14">
        <f t="shared" si="37"/>
        <v>57.53567801144218</v>
      </c>
      <c r="BG57" s="22">
        <f t="shared" si="7"/>
        <v>510.89882453659499</v>
      </c>
      <c r="BH57" s="62">
        <f t="shared" si="8"/>
        <v>804.2321578699283</v>
      </c>
      <c r="BI57" s="62">
        <f ca="1">AVERAGE(OFFSET($BH$3,0,0,'Données projet'!$E$11+1,1))-AVERAGE(OFFSET($H$3,0,0,'Données projet'!$E$11+1,1))</f>
        <v>455.85294519779609</v>
      </c>
      <c r="BJ57" s="62">
        <f t="shared" si="38"/>
        <v>294.45557293177131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3.0467299236723272E-3</v>
      </c>
      <c r="BS57" s="24">
        <f t="shared" si="9"/>
        <v>3.0467299236723272E-3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8.6</v>
      </c>
      <c r="BY57" s="13">
        <f>IF('Données projet'!$A$114&gt;35,BY56+BX57-CG56,IF(A57&lt;'Données projet'!$A$114,$BV$205^A57,IF(A57='Données projet'!$A$114,'Données projet'!$B$114,BY56+BX57-CG56)))</f>
        <v>249.40000000000006</v>
      </c>
      <c r="BZ57" s="14">
        <f>BY57*VLOOKUP('Données projet'!$B$12,Paramètres!$A$1:$I$89,3,0)*VLOOKUP('Données projet'!$B$12,Paramètres!$A$1:$I$89,5,0)</f>
        <v>217.87584000000007</v>
      </c>
      <c r="CA57" s="14">
        <f t="shared" si="39"/>
        <v>53.652949670124926</v>
      </c>
      <c r="CB57" s="22">
        <f t="shared" si="10"/>
        <v>472.91264200880101</v>
      </c>
      <c r="CC57" s="62">
        <f t="shared" si="11"/>
        <v>766.24597534213433</v>
      </c>
      <c r="CD57" s="62">
        <f ca="1">AVERAGE(OFFSET($CC$3,0,0,'Données projet'!$E$12+1,1))-AVERAGE(OFFSET($H$3,0,0,'Données projet'!$E$12+1,1))</f>
        <v>304.32767345253382</v>
      </c>
      <c r="CE57" s="62">
        <f t="shared" si="40"/>
        <v>427.16091343339173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-5.6843418860808015E-14</v>
      </c>
      <c r="CU57" s="18">
        <f>CT57*VLOOKUP('Données projet'!$B$13,Paramètres!$A$1:$I$89,3,0)*VLOOKUP('Données projet'!$B$13,Paramètres!$A$1:$I$89,5,0)</f>
        <v>-5.1431925385259088E-14</v>
      </c>
      <c r="CV57" s="14" t="e">
        <f t="shared" si="41"/>
        <v>#NUM!</v>
      </c>
      <c r="CW57" s="22" t="e">
        <f t="shared" si="13"/>
        <v>#NUM!</v>
      </c>
      <c r="CX57" s="62" t="e">
        <f t="shared" si="14"/>
        <v>#NUM!</v>
      </c>
      <c r="CY57" s="62">
        <f ca="1">AVERAGE(OFFSET($CX$3,0,0,'Données projet'!$E$13+1,1))-AVERAGE(OFFSET($H$3,0,0,'Données projet'!$E$13+1,1))</f>
        <v>350.06545824795847</v>
      </c>
      <c r="CZ57" s="62">
        <f t="shared" si="42"/>
        <v>513.80016421153414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10.199999999999999</v>
      </c>
      <c r="DO57" s="13">
        <f>IF('Données projet'!$A$166&gt;35,DO56+DN57-DW56,IF(A57&lt;'Données projet'!$A$166,$DL$205^A57,IF(A57='Données projet'!$A$166,'Données projet'!$B$166,DO56+DN57-DW56)))</f>
        <v>243.79999999999998</v>
      </c>
      <c r="DP57" s="18">
        <f>DO57*VLOOKUP('Données projet'!$B$14,Paramètres!$A$1:$I$89,3,0)*VLOOKUP('Données projet'!$B$14,Paramètres!$A$1:$I$89,5,0)</f>
        <v>193.96727999999999</v>
      </c>
      <c r="DQ57" s="14">
        <f t="shared" si="43"/>
        <v>48.41600442423902</v>
      </c>
      <c r="DR57" s="22">
        <f t="shared" si="16"/>
        <v>422.1508870388829</v>
      </c>
      <c r="DS57" s="62">
        <f t="shared" si="17"/>
        <v>715.48422037221621</v>
      </c>
      <c r="DT57" s="62">
        <f ca="1">AVERAGE(OFFSET($DS$3,0,0,'Données projet'!$E$14+1,1))-AVERAGE(OFFSET($H$3,0,0,'Données projet'!$E$14+1,1))</f>
        <v>382.14353215900121</v>
      </c>
      <c r="DU57" s="62">
        <f t="shared" si="44"/>
        <v>249.73945975250177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2.506181066246593E-3</v>
      </c>
      <c r="ED57" s="24">
        <f t="shared" si="18"/>
        <v>2.506181066246593E-3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254</v>
      </c>
      <c r="L58" s="13">
        <f>VLOOKUP(A58,'Données projet'!$A$35:$I$55,9,0)</f>
        <v>10.199999999999999</v>
      </c>
      <c r="M58" s="13">
        <f t="array" ref="M58">INDEX(L:L,MIN(IF(ISNUMBER(L58:L254),ROW(L58:L254),"")))</f>
        <v>10.199999999999999</v>
      </c>
      <c r="N58" s="14">
        <f>IF('Données projet'!$A$36&gt;35,N57+M58-V57,IF(A58&lt;'Données projet'!$A$36,$K$205^A58,IF(A58='Données projet'!$A$36,'Données projet'!$B$36,N57+M58-V57)))</f>
        <v>253.99999999999997</v>
      </c>
      <c r="O58" s="14">
        <f>N58*VLOOKUP('Données projet'!$B$9,Paramètres!$A$1:$I$89,3,0)*VLOOKUP('Données projet'!$B$9,Paramètres!$A$1:$I$89,5,0)</f>
        <v>229.81919999999997</v>
      </c>
      <c r="P58" s="14">
        <f t="shared" si="33"/>
        <v>56.243586554989342</v>
      </c>
      <c r="Q58" s="22">
        <f t="shared" si="53"/>
        <v>498.22601991660639</v>
      </c>
      <c r="R58" s="62">
        <f t="shared" si="0"/>
        <v>791.5593532499397</v>
      </c>
      <c r="S58" s="62">
        <f ca="1">AVERAGE(OFFSET($R$3,0,0,'Données projet'!$E$9+1,1))-AVERAGE(OFFSET($H$3,0,0,'Données projet'!$E$9+1,1))</f>
        <v>429.08375622925655</v>
      </c>
      <c r="T58" s="62">
        <f t="shared" si="34"/>
        <v>278.21741231699929</v>
      </c>
      <c r="U58" s="16">
        <f>IF(ISNA(VLOOKUP(A58,'Données projet'!$A$35:$I$55,3,0)),0,VLOOKUP(A58,'Données projet'!$A$35:$I$55,3,0))</f>
        <v>8</v>
      </c>
      <c r="V58" s="16">
        <f>IF(ISNA(VLOOKUP(A58,'Données projet'!$A$35:$I$55,4,0)),0,VLOOKUP(A58,'Données projet'!$A$35:$I$55,4,0))</f>
        <v>28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2.0153722030550824E-3</v>
      </c>
      <c r="AC58" s="24">
        <f t="shared" si="3"/>
        <v>2.0153722030550824E-3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254</v>
      </c>
      <c r="AG58" s="13">
        <f>VLOOKUP(A58,'Données projet'!$A$61:$I$81,9,0)</f>
        <v>10.199999999999999</v>
      </c>
      <c r="AH58" s="13">
        <f t="array" ref="AH58">INDEX(AG:AG,MIN(IF(ISNUMBER(AG58:AG254),ROW(AG58:AG254),"")))</f>
        <v>10.199999999999999</v>
      </c>
      <c r="AI58" s="14">
        <f>IF('Données projet'!$A$62&gt;35,AI57+AH58-AQ57,IF(A58&lt;'Données projet'!$A$62,$AF$205^A58,IF(A58='Données projet'!$A$62,'Données projet'!$B$62,AI57+AH58-AQ57)))</f>
        <v>253.99999999999997</v>
      </c>
      <c r="AJ58" s="14">
        <f>AI58*VLOOKUP('Données projet'!$B$10,Paramètres!$A$1:$I$89,3,0)*VLOOKUP('Données projet'!$B$10,Paramètres!$A$1:$I$89,5,0)</f>
        <v>241.70639999999997</v>
      </c>
      <c r="AK58" s="14">
        <f t="shared" si="35"/>
        <v>58.806519231842536</v>
      </c>
      <c r="AL58" s="22">
        <f t="shared" si="4"/>
        <v>523.39333432879232</v>
      </c>
      <c r="AM58" s="62">
        <f t="shared" si="5"/>
        <v>816.72666766212569</v>
      </c>
      <c r="AN58" s="62">
        <f ca="1">AVERAGE(OFFSET($AM$3,0,0,'Données projet'!$E$10+1,1))-AVERAGE(OFFSET($H$3,0,0,'Données projet'!$E$10+1,1))</f>
        <v>449.16408464351673</v>
      </c>
      <c r="AO58" s="62">
        <f t="shared" si="36"/>
        <v>290.39826583283588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28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2.1196155928682775E-3</v>
      </c>
      <c r="AX58" s="23">
        <f t="shared" si="6"/>
        <v>2.1196155928682775E-3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254</v>
      </c>
      <c r="BB58" s="13">
        <f>VLOOKUP(A58,'Données projet'!$A$87:$I$107,9,0)</f>
        <v>10.199999999999999</v>
      </c>
      <c r="BC58" s="13">
        <f t="array" ref="BC58">INDEX(BB:BB,MIN(IF(ISNUMBER(BB58:BB254),ROW(BB58:BB254),"")))</f>
        <v>10.199999999999999</v>
      </c>
      <c r="BD58" s="13">
        <f>IF('Données projet'!$A$88&gt;35,BD57+BC58-BL57,IF(A58&lt;'Données projet'!$A$88,$BA$205^A58,IF(A58='Données projet'!$A$88,'Données projet'!$B$88,BD57+BC58-BL57)))</f>
        <v>253.99999999999997</v>
      </c>
      <c r="BE58" s="14">
        <f>BD58*VLOOKUP('Données projet'!$B$11,Paramètres!$A$1:$I$89,3,0)*VLOOKUP('Données projet'!$B$11,Paramètres!$A$1:$I$89,5,0)</f>
        <v>245.6688</v>
      </c>
      <c r="BF58" s="14">
        <f t="shared" si="37"/>
        <v>59.657538312400263</v>
      </c>
      <c r="BG58" s="22">
        <f t="shared" si="7"/>
        <v>531.77670589409706</v>
      </c>
      <c r="BH58" s="62">
        <f t="shared" si="8"/>
        <v>825.11003922743043</v>
      </c>
      <c r="BI58" s="62">
        <f ca="1">AVERAGE(OFFSET($BH$3,0,0,'Données projet'!$E$11+1,1))-AVERAGE(OFFSET($H$3,0,0,'Données projet'!$E$11+1,1))</f>
        <v>455.85294519779609</v>
      </c>
      <c r="BJ58" s="62">
        <f t="shared" si="38"/>
        <v>294.45557293177131</v>
      </c>
      <c r="BK58" s="16">
        <f>IF(ISNA(VLOOKUP(A58,'Données projet'!$A$87:$I$107,3,0)),0,VLOOKUP(A58,'Données projet'!$A$87:$I$107,3,0))</f>
        <v>8</v>
      </c>
      <c r="BL58" s="16">
        <f>IF(ISNA(VLOOKUP(A58,'Données projet'!$A$87:$I$107,4,0)),0,VLOOKUP(A58,'Données projet'!$A$87:$I$107,4,0))</f>
        <v>28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2.1543633894726749E-3</v>
      </c>
      <c r="BS58" s="24">
        <f t="shared" si="9"/>
        <v>2.1543633894726749E-3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258</v>
      </c>
      <c r="BW58" s="13">
        <f>VLOOKUP(A58,'Données projet'!$A$113:$I$133,9,0)</f>
        <v>8.6</v>
      </c>
      <c r="BX58" s="13">
        <f t="array" ref="BX58">INDEX(BW:BW,MIN(IF(ISNUMBER(BW58:BW254),ROW(BW58:BW254),"")))</f>
        <v>8.6</v>
      </c>
      <c r="BY58" s="13">
        <f>IF('Données projet'!$A$114&gt;35,BY57+BX58-CG57,IF(A58&lt;'Données projet'!$A$114,$BV$205^A58,IF(A58='Données projet'!$A$114,'Données projet'!$B$114,BY57+BX58-CG57)))</f>
        <v>258.00000000000006</v>
      </c>
      <c r="BZ58" s="14">
        <f>BY58*VLOOKUP('Données projet'!$B$12,Paramètres!$A$1:$I$89,3,0)*VLOOKUP('Données projet'!$B$12,Paramètres!$A$1:$I$89,5,0)</f>
        <v>225.38880000000009</v>
      </c>
      <c r="CA58" s="14">
        <f t="shared" si="39"/>
        <v>55.284460117161593</v>
      </c>
      <c r="CB58" s="22">
        <f t="shared" si="10"/>
        <v>488.83926137072331</v>
      </c>
      <c r="CC58" s="62">
        <f t="shared" si="11"/>
        <v>782.17259470405656</v>
      </c>
      <c r="CD58" s="62">
        <f ca="1">AVERAGE(OFFSET($CC$3,0,0,'Données projet'!$E$12+1,1))-AVERAGE(OFFSET($H$3,0,0,'Données projet'!$E$12+1,1))</f>
        <v>304.32767345253382</v>
      </c>
      <c r="CE58" s="62">
        <f t="shared" si="40"/>
        <v>427.16091343339173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258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-5.6843418860808015E-14</v>
      </c>
      <c r="CU58" s="18">
        <f>CT58*VLOOKUP('Données projet'!$B$13,Paramètres!$A$1:$I$89,3,0)*VLOOKUP('Données projet'!$B$13,Paramètres!$A$1:$I$89,5,0)</f>
        <v>-5.1431925385259088E-14</v>
      </c>
      <c r="CV58" s="14" t="e">
        <f t="shared" si="41"/>
        <v>#NUM!</v>
      </c>
      <c r="CW58" s="22" t="e">
        <f t="shared" si="13"/>
        <v>#NUM!</v>
      </c>
      <c r="CX58" s="62" t="e">
        <f t="shared" si="14"/>
        <v>#NUM!</v>
      </c>
      <c r="CY58" s="62">
        <f ca="1">AVERAGE(OFFSET($CX$3,0,0,'Données projet'!$E$13+1,1))-AVERAGE(OFFSET($H$3,0,0,'Données projet'!$E$13+1,1))</f>
        <v>350.06545824795847</v>
      </c>
      <c r="CZ58" s="62">
        <f t="shared" si="42"/>
        <v>513.80016421153414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254</v>
      </c>
      <c r="DM58" s="13">
        <f>VLOOKUP(A58,'Données projet'!$A$165:$I$185,9,0)</f>
        <v>10.199999999999999</v>
      </c>
      <c r="DN58" s="13">
        <f t="array" ref="DN58">INDEX(DM:DM,MIN(IF(ISNUMBER(DM58:DM254),ROW(DM58:DM254),"")))</f>
        <v>10.199999999999999</v>
      </c>
      <c r="DO58" s="13">
        <f>IF('Données projet'!$A$166&gt;35,DO57+DN58-DW57,IF(A58&lt;'Données projet'!$A$166,$DL$205^A58,IF(A58='Données projet'!$A$166,'Données projet'!$B$166,DO57+DN58-DW57)))</f>
        <v>253.99999999999997</v>
      </c>
      <c r="DP58" s="18">
        <f>DO58*VLOOKUP('Données projet'!$B$14,Paramètres!$A$1:$I$89,3,0)*VLOOKUP('Données projet'!$B$14,Paramètres!$A$1:$I$89,5,0)</f>
        <v>202.08240000000001</v>
      </c>
      <c r="DQ58" s="14">
        <f t="shared" si="43"/>
        <v>50.201539960960659</v>
      </c>
      <c r="DR58" s="22">
        <f t="shared" si="16"/>
        <v>439.39452876533977</v>
      </c>
      <c r="DS58" s="62">
        <f t="shared" si="17"/>
        <v>732.72786209867309</v>
      </c>
      <c r="DT58" s="62">
        <f ca="1">AVERAGE(OFFSET($DS$3,0,0,'Données projet'!$E$14+1,1))-AVERAGE(OFFSET($H$3,0,0,'Données projet'!$E$14+1,1))</f>
        <v>382.14353215900121</v>
      </c>
      <c r="DU58" s="62">
        <f t="shared" si="44"/>
        <v>249.73945975250177</v>
      </c>
      <c r="DV58" s="16">
        <f>IF(ISNA(VLOOKUP(A58,'Données projet'!$A$165:$I$185,3,0)),0,VLOOKUP(A58,'Données projet'!$A$165:$I$185,3,0))</f>
        <v>8</v>
      </c>
      <c r="DW58" s="16">
        <f>IF(ISNA(VLOOKUP(A58,'Données projet'!$A$165:$I$185,4,0)),0,VLOOKUP(A58,'Données projet'!$A$165:$I$185,4,0))</f>
        <v>28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1.772137626824298E-3</v>
      </c>
      <c r="ED58" s="24">
        <f t="shared" si="18"/>
        <v>1.772137626824298E-3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9.4</v>
      </c>
      <c r="N59" s="14">
        <f>IF('Données projet'!$A$36&gt;35,N58+M59-V58,IF(A59&lt;'Données projet'!$A$36,$K$205^A59,IF(A59='Données projet'!$A$36,'Données projet'!$B$36,N58+M59-V58)))</f>
        <v>235.39999999999998</v>
      </c>
      <c r="O59" s="14">
        <f>N59*VLOOKUP('Données projet'!$B$9,Paramètres!$A$1:$I$89,3,0)*VLOOKUP('Données projet'!$B$9,Paramètres!$A$1:$I$89,5,0)</f>
        <v>212.98991999999998</v>
      </c>
      <c r="P59" s="14">
        <f t="shared" si="33"/>
        <v>52.588419883221171</v>
      </c>
      <c r="Q59" s="22">
        <f t="shared" si="53"/>
        <v>462.54894196327677</v>
      </c>
      <c r="R59" s="62">
        <f t="shared" si="0"/>
        <v>755.88227529661003</v>
      </c>
      <c r="S59" s="62">
        <f ca="1">AVERAGE(OFFSET($R$3,0,0,'Données projet'!$E$9+1,1))-AVERAGE(OFFSET($H$3,0,0,'Données projet'!$E$9+1,1))</f>
        <v>429.08375622925655</v>
      </c>
      <c r="T59" s="62">
        <f t="shared" si="34"/>
        <v>278.21741231699929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1.4250833513951204E-3</v>
      </c>
      <c r="AC59" s="24">
        <f t="shared" si="3"/>
        <v>1.4250833513951204E-3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9.4</v>
      </c>
      <c r="AI59" s="14">
        <f>IF('Données projet'!$A$62&gt;35,AI58+AH59-AQ58,IF(A59&lt;'Données projet'!$A$62,$AF$205^A59,IF(A59='Données projet'!$A$62,'Données projet'!$B$62,AI58+AH59-AQ58)))</f>
        <v>235.39999999999998</v>
      </c>
      <c r="AJ59" s="14">
        <f>AI59*VLOOKUP('Données projet'!$B$10,Paramètres!$A$1:$I$89,3,0)*VLOOKUP('Données projet'!$B$10,Paramètres!$A$1:$I$89,5,0)</f>
        <v>224.00664</v>
      </c>
      <c r="AK59" s="14">
        <f t="shared" si="35"/>
        <v>54.984792305364024</v>
      </c>
      <c r="AL59" s="22">
        <f t="shared" si="4"/>
        <v>485.9100779318423</v>
      </c>
      <c r="AM59" s="62">
        <f t="shared" si="5"/>
        <v>779.24341126517561</v>
      </c>
      <c r="AN59" s="62">
        <f ca="1">AVERAGE(OFFSET($AM$3,0,0,'Données projet'!$E$10+1,1))-AVERAGE(OFFSET($H$3,0,0,'Données projet'!$E$10+1,1))</f>
        <v>449.16408464351673</v>
      </c>
      <c r="AO59" s="62">
        <f t="shared" si="36"/>
        <v>290.39826583283588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1.4987945592259033E-3</v>
      </c>
      <c r="AX59" s="23">
        <f t="shared" si="6"/>
        <v>1.4987945592259033E-3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9.4</v>
      </c>
      <c r="BD59" s="13">
        <f>IF('Données projet'!$A$88&gt;35,BD58+BC59-BL58,IF(A59&lt;'Données projet'!$A$88,$BA$205^A59,IF(A59='Données projet'!$A$88,'Données projet'!$B$88,BD58+BC59-BL58)))</f>
        <v>235.39999999999998</v>
      </c>
      <c r="BE59" s="14">
        <f>BD59*VLOOKUP('Données projet'!$B$11,Paramètres!$A$1:$I$89,3,0)*VLOOKUP('Données projet'!$B$11,Paramètres!$A$1:$I$89,5,0)</f>
        <v>227.67887999999996</v>
      </c>
      <c r="BF59" s="14">
        <f t="shared" si="37"/>
        <v>55.780505229774469</v>
      </c>
      <c r="BG59" s="22">
        <f t="shared" si="7"/>
        <v>493.69176260852379</v>
      </c>
      <c r="BH59" s="62">
        <f t="shared" si="8"/>
        <v>787.0250959418571</v>
      </c>
      <c r="BI59" s="62">
        <f ca="1">AVERAGE(OFFSET($BH$3,0,0,'Données projet'!$E$11+1,1))-AVERAGE(OFFSET($H$3,0,0,'Données projet'!$E$11+1,1))</f>
        <v>455.85294519779609</v>
      </c>
      <c r="BJ59" s="62">
        <f t="shared" si="38"/>
        <v>294.45557293177131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1.5233649618361636E-3</v>
      </c>
      <c r="BS59" s="24">
        <f t="shared" si="9"/>
        <v>1.5233649618361636E-3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5.6843418860808015E-14</v>
      </c>
      <c r="BZ59" s="14">
        <f>BY59*VLOOKUP('Données projet'!$B$12,Paramètres!$A$1:$I$89,3,0)*VLOOKUP('Données projet'!$B$12,Paramètres!$A$1:$I$89,5,0)</f>
        <v>4.9658410716801891E-14</v>
      </c>
      <c r="CA59" s="14">
        <f t="shared" si="39"/>
        <v>8.0934058173791862E-13</v>
      </c>
      <c r="CB59" s="22">
        <f t="shared" si="10"/>
        <v>1.4960899118586383E-12</v>
      </c>
      <c r="CC59" s="62">
        <f t="shared" si="11"/>
        <v>293.33333333333479</v>
      </c>
      <c r="CD59" s="62">
        <f ca="1">AVERAGE(OFFSET($CC$3,0,0,'Données projet'!$E$12+1,1))-AVERAGE(OFFSET($H$3,0,0,'Données projet'!$E$12+1,1))</f>
        <v>304.32767345253382</v>
      </c>
      <c r="CE59" s="62">
        <f t="shared" si="40"/>
        <v>427.16091343339173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-5.6843418860808015E-14</v>
      </c>
      <c r="CU59" s="18">
        <f>CT59*VLOOKUP('Données projet'!$B$13,Paramètres!$A$1:$I$89,3,0)*VLOOKUP('Données projet'!$B$13,Paramètres!$A$1:$I$89,5,0)</f>
        <v>-5.1431925385259088E-14</v>
      </c>
      <c r="CV59" s="14" t="e">
        <f t="shared" si="41"/>
        <v>#NUM!</v>
      </c>
      <c r="CW59" s="22" t="e">
        <f t="shared" si="13"/>
        <v>#NUM!</v>
      </c>
      <c r="CX59" s="62" t="e">
        <f t="shared" si="14"/>
        <v>#NUM!</v>
      </c>
      <c r="CY59" s="62">
        <f ca="1">AVERAGE(OFFSET($CX$3,0,0,'Données projet'!$E$13+1,1))-AVERAGE(OFFSET($H$3,0,0,'Données projet'!$E$13+1,1))</f>
        <v>350.06545824795847</v>
      </c>
      <c r="CZ59" s="62">
        <f t="shared" si="42"/>
        <v>513.80016421153414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9.4</v>
      </c>
      <c r="DO59" s="13">
        <f>IF('Données projet'!$A$166&gt;35,DO58+DN59-DW58,IF(A59&lt;'Données projet'!$A$166,$DL$205^A59,IF(A59='Données projet'!$A$166,'Données projet'!$B$166,DO58+DN59-DW58)))</f>
        <v>235.39999999999998</v>
      </c>
      <c r="DP59" s="18">
        <f>DO59*VLOOKUP('Données projet'!$B$14,Paramètres!$A$1:$I$89,3,0)*VLOOKUP('Données projet'!$B$14,Paramètres!$A$1:$I$89,5,0)</f>
        <v>187.28423999999998</v>
      </c>
      <c r="DQ59" s="14">
        <f t="shared" si="43"/>
        <v>46.939034723010714</v>
      </c>
      <c r="DR59" s="22">
        <f t="shared" si="16"/>
        <v>407.93887014257689</v>
      </c>
      <c r="DS59" s="62">
        <f t="shared" si="17"/>
        <v>701.27220347591015</v>
      </c>
      <c r="DT59" s="62">
        <f ca="1">AVERAGE(OFFSET($DS$3,0,0,'Données projet'!$E$14+1,1))-AVERAGE(OFFSET($H$3,0,0,'Données projet'!$E$14+1,1))</f>
        <v>382.14353215900121</v>
      </c>
      <c r="DU59" s="62">
        <f t="shared" si="44"/>
        <v>249.73945975250177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1.2530905331232965E-3</v>
      </c>
      <c r="ED59" s="24">
        <f t="shared" si="18"/>
        <v>1.2530905331232965E-3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9.4</v>
      </c>
      <c r="N60" s="14">
        <f>IF('Données projet'!$A$36&gt;35,N59+M60-V59,IF(A60&lt;'Données projet'!$A$36,$K$205^A60,IF(A60='Données projet'!$A$36,'Données projet'!$B$36,N59+M60-V59)))</f>
        <v>244.79999999999998</v>
      </c>
      <c r="O60" s="14">
        <f>N60*VLOOKUP('Données projet'!$B$9,Paramètres!$A$1:$I$89,3,0)*VLOOKUP('Données projet'!$B$9,Paramètres!$A$1:$I$89,5,0)</f>
        <v>221.49503999999999</v>
      </c>
      <c r="P60" s="14">
        <f t="shared" si="33"/>
        <v>54.439697086174412</v>
      </c>
      <c r="Q60" s="22">
        <f t="shared" si="53"/>
        <v>480.58633375842032</v>
      </c>
      <c r="R60" s="62">
        <f t="shared" si="0"/>
        <v>773.91966709175358</v>
      </c>
      <c r="S60" s="62">
        <f ca="1">AVERAGE(OFFSET($R$3,0,0,'Données projet'!$E$9+1,1))-AVERAGE(OFFSET($H$3,0,0,'Données projet'!$E$9+1,1))</f>
        <v>429.08375622925655</v>
      </c>
      <c r="T60" s="62">
        <f t="shared" si="34"/>
        <v>278.21741231699929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1.0076861015275412E-3</v>
      </c>
      <c r="AC60" s="24">
        <f t="shared" si="3"/>
        <v>1.0076861015275412E-3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9.4</v>
      </c>
      <c r="AI60" s="14">
        <f>IF('Données projet'!$A$62&gt;35,AI59+AH60-AQ59,IF(A60&lt;'Données projet'!$A$62,$AF$205^A60,IF(A60='Données projet'!$A$62,'Données projet'!$B$62,AI59+AH60-AQ59)))</f>
        <v>244.79999999999998</v>
      </c>
      <c r="AJ60" s="14">
        <f>AI60*VLOOKUP('Données projet'!$B$10,Paramètres!$A$1:$I$89,3,0)*VLOOKUP('Données projet'!$B$10,Paramètres!$A$1:$I$89,5,0)</f>
        <v>232.95167999999998</v>
      </c>
      <c r="AK60" s="14">
        <f t="shared" si="35"/>
        <v>56.920429328307158</v>
      </c>
      <c r="AL60" s="22">
        <f t="shared" si="4"/>
        <v>504.86059041346829</v>
      </c>
      <c r="AM60" s="62">
        <f t="shared" si="5"/>
        <v>798.1939237468016</v>
      </c>
      <c r="AN60" s="62">
        <f ca="1">AVERAGE(OFFSET($AM$3,0,0,'Données projet'!$E$10+1,1))-AVERAGE(OFFSET($H$3,0,0,'Données projet'!$E$10+1,1))</f>
        <v>449.16408464351673</v>
      </c>
      <c r="AO60" s="62">
        <f t="shared" si="36"/>
        <v>290.39826583283588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1.0598077964341388E-3</v>
      </c>
      <c r="AX60" s="23">
        <f t="shared" si="6"/>
        <v>1.0598077964341388E-3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9.4</v>
      </c>
      <c r="BD60" s="13">
        <f>IF('Données projet'!$A$88&gt;35,BD59+BC60-BL59,IF(A60&lt;'Données projet'!$A$88,$BA$205^A60,IF(A60='Données projet'!$A$88,'Données projet'!$B$88,BD59+BC60-BL59)))</f>
        <v>244.79999999999998</v>
      </c>
      <c r="BE60" s="14">
        <f>BD60*VLOOKUP('Données projet'!$B$11,Paramètres!$A$1:$I$89,3,0)*VLOOKUP('Données projet'!$B$11,Paramètres!$A$1:$I$89,5,0)</f>
        <v>236.77055999999999</v>
      </c>
      <c r="BF60" s="14">
        <f t="shared" si="37"/>
        <v>57.744153841586929</v>
      </c>
      <c r="BG60" s="22">
        <f t="shared" si="7"/>
        <v>512.94645994076382</v>
      </c>
      <c r="BH60" s="62">
        <f t="shared" si="8"/>
        <v>806.27979327409707</v>
      </c>
      <c r="BI60" s="62">
        <f ca="1">AVERAGE(OFFSET($BH$3,0,0,'Données projet'!$E$11+1,1))-AVERAGE(OFFSET($H$3,0,0,'Données projet'!$E$11+1,1))</f>
        <v>455.85294519779609</v>
      </c>
      <c r="BJ60" s="62">
        <f t="shared" si="38"/>
        <v>294.45557293177131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1.0771816947363374E-3</v>
      </c>
      <c r="BS60" s="24">
        <f t="shared" si="9"/>
        <v>1.0771816947363374E-3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5.6843418860808015E-14</v>
      </c>
      <c r="BZ60" s="14">
        <f>BY60*VLOOKUP('Données projet'!$B$12,Paramètres!$A$1:$I$89,3,0)*VLOOKUP('Données projet'!$B$12,Paramètres!$A$1:$I$89,5,0)</f>
        <v>4.9658410716801891E-14</v>
      </c>
      <c r="CA60" s="14">
        <f t="shared" si="39"/>
        <v>8.0934058173791862E-13</v>
      </c>
      <c r="CB60" s="22">
        <f t="shared" si="10"/>
        <v>1.4960899118586383E-12</v>
      </c>
      <c r="CC60" s="62">
        <f t="shared" si="11"/>
        <v>293.33333333333479</v>
      </c>
      <c r="CD60" s="62">
        <f ca="1">AVERAGE(OFFSET($CC$3,0,0,'Données projet'!$E$12+1,1))-AVERAGE(OFFSET($H$3,0,0,'Données projet'!$E$12+1,1))</f>
        <v>304.32767345253382</v>
      </c>
      <c r="CE60" s="62">
        <f t="shared" si="40"/>
        <v>427.16091343339173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-5.6843418860808015E-14</v>
      </c>
      <c r="CU60" s="18">
        <f>CT60*VLOOKUP('Données projet'!$B$13,Paramètres!$A$1:$I$89,3,0)*VLOOKUP('Données projet'!$B$13,Paramètres!$A$1:$I$89,5,0)</f>
        <v>-5.1431925385259088E-14</v>
      </c>
      <c r="CV60" s="14" t="e">
        <f t="shared" si="41"/>
        <v>#NUM!</v>
      </c>
      <c r="CW60" s="22" t="e">
        <f t="shared" si="13"/>
        <v>#NUM!</v>
      </c>
      <c r="CX60" s="62" t="e">
        <f t="shared" si="14"/>
        <v>#NUM!</v>
      </c>
      <c r="CY60" s="62">
        <f ca="1">AVERAGE(OFFSET($CX$3,0,0,'Données projet'!$E$13+1,1))-AVERAGE(OFFSET($H$3,0,0,'Données projet'!$E$13+1,1))</f>
        <v>350.06545824795847</v>
      </c>
      <c r="CZ60" s="62">
        <f t="shared" si="42"/>
        <v>513.80016421153414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9.4</v>
      </c>
      <c r="DO60" s="13">
        <f>IF('Données projet'!$A$166&gt;35,DO59+DN60-DW59,IF(A60&lt;'Données projet'!$A$166,$DL$205^A60,IF(A60='Données projet'!$A$166,'Données projet'!$B$166,DO59+DN60-DW59)))</f>
        <v>244.79999999999998</v>
      </c>
      <c r="DP60" s="18">
        <f>DO60*VLOOKUP('Données projet'!$B$14,Paramètres!$A$1:$I$89,3,0)*VLOOKUP('Données projet'!$B$14,Paramètres!$A$1:$I$89,5,0)</f>
        <v>194.76288</v>
      </c>
      <c r="DQ60" s="14">
        <f t="shared" si="43"/>
        <v>48.591435861974539</v>
      </c>
      <c r="DR60" s="22">
        <f t="shared" si="16"/>
        <v>423.84210012627227</v>
      </c>
      <c r="DS60" s="62">
        <f t="shared" si="17"/>
        <v>717.17543345960553</v>
      </c>
      <c r="DT60" s="62">
        <f ca="1">AVERAGE(OFFSET($DS$3,0,0,'Données projet'!$E$14+1,1))-AVERAGE(OFFSET($H$3,0,0,'Données projet'!$E$14+1,1))</f>
        <v>382.14353215900121</v>
      </c>
      <c r="DU60" s="62">
        <f t="shared" si="44"/>
        <v>249.73945975250177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8.86068813412149E-4</v>
      </c>
      <c r="ED60" s="24">
        <f t="shared" si="18"/>
        <v>8.86068813412149E-4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9.4</v>
      </c>
      <c r="N61" s="14">
        <f>IF('Données projet'!$A$36&gt;35,N60+M61-V60,IF(A61&lt;'Données projet'!$A$36,$K$205^A61,IF(A61='Données projet'!$A$36,'Données projet'!$B$36,N60+M61-V60)))</f>
        <v>254.2</v>
      </c>
      <c r="O61" s="14">
        <f>N61*VLOOKUP('Données projet'!$B$9,Paramètres!$A$1:$I$89,3,0)*VLOOKUP('Données projet'!$B$9,Paramètres!$A$1:$I$89,5,0)</f>
        <v>230.00015999999997</v>
      </c>
      <c r="P61" s="14">
        <f t="shared" si="33"/>
        <v>56.282716126880423</v>
      </c>
      <c r="Q61" s="22">
        <f t="shared" si="53"/>
        <v>498.60934258765002</v>
      </c>
      <c r="R61" s="62">
        <f t="shared" si="0"/>
        <v>791.94267592098333</v>
      </c>
      <c r="S61" s="62">
        <f ca="1">AVERAGE(OFFSET($R$3,0,0,'Données projet'!$E$9+1,1))-AVERAGE(OFFSET($H$3,0,0,'Données projet'!$E$9+1,1))</f>
        <v>429.08375622925655</v>
      </c>
      <c r="T61" s="62">
        <f t="shared" si="34"/>
        <v>278.21741231699929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7.1254167569756021E-4</v>
      </c>
      <c r="AC61" s="24">
        <f t="shared" si="3"/>
        <v>7.1254167569756021E-4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9.4</v>
      </c>
      <c r="AI61" s="14">
        <f>IF('Données projet'!$A$62&gt;35,AI60+AH61-AQ60,IF(A61&lt;'Données projet'!$A$62,$AF$205^A61,IF(A61='Données projet'!$A$62,'Données projet'!$B$62,AI60+AH61-AQ60)))</f>
        <v>254.2</v>
      </c>
      <c r="AJ61" s="14">
        <f>AI61*VLOOKUP('Données projet'!$B$10,Paramètres!$A$1:$I$89,3,0)*VLOOKUP('Données projet'!$B$10,Paramètres!$A$1:$I$89,5,0)</f>
        <v>241.89671999999999</v>
      </c>
      <c r="AK61" s="14">
        <f t="shared" si="35"/>
        <v>58.847431877406024</v>
      </c>
      <c r="AL61" s="22">
        <f t="shared" si="4"/>
        <v>523.79606451981545</v>
      </c>
      <c r="AM61" s="62">
        <f t="shared" si="5"/>
        <v>817.1293978531487</v>
      </c>
      <c r="AN61" s="62">
        <f ca="1">AVERAGE(OFFSET($AM$3,0,0,'Données projet'!$E$10+1,1))-AVERAGE(OFFSET($H$3,0,0,'Données projet'!$E$10+1,1))</f>
        <v>449.16408464351673</v>
      </c>
      <c r="AO61" s="62">
        <f t="shared" si="36"/>
        <v>290.39826583283588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7.4939727961295167E-4</v>
      </c>
      <c r="AX61" s="23">
        <f t="shared" si="6"/>
        <v>7.4939727961295167E-4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9.4</v>
      </c>
      <c r="BD61" s="13">
        <f>IF('Données projet'!$A$88&gt;35,BD60+BC61-BL60,IF(A61&lt;'Données projet'!$A$88,$BA$205^A61,IF(A61='Données projet'!$A$88,'Données projet'!$B$88,BD60+BC61-BL60)))</f>
        <v>254.2</v>
      </c>
      <c r="BE61" s="14">
        <f>BD61*VLOOKUP('Données projet'!$B$11,Paramètres!$A$1:$I$89,3,0)*VLOOKUP('Données projet'!$B$11,Paramètres!$A$1:$I$89,5,0)</f>
        <v>245.86223999999999</v>
      </c>
      <c r="BF61" s="14">
        <f t="shared" si="37"/>
        <v>59.699043025687963</v>
      </c>
      <c r="BG61" s="22">
        <f t="shared" si="7"/>
        <v>532.18590126973982</v>
      </c>
      <c r="BH61" s="62">
        <f t="shared" si="8"/>
        <v>825.51923460307307</v>
      </c>
      <c r="BI61" s="62">
        <f ca="1">AVERAGE(OFFSET($BH$3,0,0,'Données projet'!$E$11+1,1))-AVERAGE(OFFSET($H$3,0,0,'Données projet'!$E$11+1,1))</f>
        <v>455.85294519779609</v>
      </c>
      <c r="BJ61" s="62">
        <f t="shared" si="38"/>
        <v>294.45557293177131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7.616824809180818E-4</v>
      </c>
      <c r="BS61" s="24">
        <f t="shared" si="9"/>
        <v>7.616824809180818E-4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5.6843418860808015E-14</v>
      </c>
      <c r="BZ61" s="14">
        <f>BY61*VLOOKUP('Données projet'!$B$12,Paramètres!$A$1:$I$89,3,0)*VLOOKUP('Données projet'!$B$12,Paramètres!$A$1:$I$89,5,0)</f>
        <v>4.9658410716801891E-14</v>
      </c>
      <c r="CA61" s="14">
        <f t="shared" si="39"/>
        <v>8.0934058173791862E-13</v>
      </c>
      <c r="CB61" s="22">
        <f t="shared" si="10"/>
        <v>1.4960899118586383E-12</v>
      </c>
      <c r="CC61" s="62">
        <f t="shared" si="11"/>
        <v>293.33333333333479</v>
      </c>
      <c r="CD61" s="62">
        <f ca="1">AVERAGE(OFFSET($CC$3,0,0,'Données projet'!$E$12+1,1))-AVERAGE(OFFSET($H$3,0,0,'Données projet'!$E$12+1,1))</f>
        <v>304.32767345253382</v>
      </c>
      <c r="CE61" s="62">
        <f t="shared" si="40"/>
        <v>427.16091343339173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-5.6843418860808015E-14</v>
      </c>
      <c r="CU61" s="18">
        <f>CT61*VLOOKUP('Données projet'!$B$13,Paramètres!$A$1:$I$89,3,0)*VLOOKUP('Données projet'!$B$13,Paramètres!$A$1:$I$89,5,0)</f>
        <v>-5.1431925385259088E-14</v>
      </c>
      <c r="CV61" s="14" t="e">
        <f t="shared" si="41"/>
        <v>#NUM!</v>
      </c>
      <c r="CW61" s="22" t="e">
        <f t="shared" si="13"/>
        <v>#NUM!</v>
      </c>
      <c r="CX61" s="62" t="e">
        <f t="shared" si="14"/>
        <v>#NUM!</v>
      </c>
      <c r="CY61" s="62">
        <f ca="1">AVERAGE(OFFSET($CX$3,0,0,'Données projet'!$E$13+1,1))-AVERAGE(OFFSET($H$3,0,0,'Données projet'!$E$13+1,1))</f>
        <v>350.06545824795847</v>
      </c>
      <c r="CZ61" s="62">
        <f t="shared" si="42"/>
        <v>513.80016421153414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9.4</v>
      </c>
      <c r="DO61" s="13">
        <f>IF('Données projet'!$A$166&gt;35,DO60+DN61-DW60,IF(A61&lt;'Données projet'!$A$166,$DL$205^A61,IF(A61='Données projet'!$A$166,'Données projet'!$B$166,DO60+DN61-DW60)))</f>
        <v>254.2</v>
      </c>
      <c r="DP61" s="18">
        <f>DO61*VLOOKUP('Données projet'!$B$14,Paramètres!$A$1:$I$89,3,0)*VLOOKUP('Données projet'!$B$14,Paramètres!$A$1:$I$89,5,0)</f>
        <v>202.24152000000001</v>
      </c>
      <c r="DQ61" s="14">
        <f t="shared" si="43"/>
        <v>50.236465983415187</v>
      </c>
      <c r="DR61" s="22">
        <f t="shared" si="16"/>
        <v>439.73249225444806</v>
      </c>
      <c r="DS61" s="62">
        <f t="shared" si="17"/>
        <v>733.06582558778132</v>
      </c>
      <c r="DT61" s="62">
        <f ca="1">AVERAGE(OFFSET($DS$3,0,0,'Données projet'!$E$14+1,1))-AVERAGE(OFFSET($H$3,0,0,'Données projet'!$E$14+1,1))</f>
        <v>382.14353215900121</v>
      </c>
      <c r="DU61" s="62">
        <f t="shared" si="44"/>
        <v>249.73945975250177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6.2654526656164824E-4</v>
      </c>
      <c r="ED61" s="24">
        <f t="shared" si="18"/>
        <v>6.2654526656164824E-4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9.4</v>
      </c>
      <c r="N62" s="14">
        <f>IF('Données projet'!$A$36&gt;35,N61+M62-V61,IF(A62&lt;'Données projet'!$A$36,$K$205^A62,IF(A62='Données projet'!$A$36,'Données projet'!$B$36,N61+M62-V61)))</f>
        <v>263.59999999999997</v>
      </c>
      <c r="O62" s="14">
        <f>N62*VLOOKUP('Données projet'!$B$9,Paramètres!$A$1:$I$89,3,0)*VLOOKUP('Données projet'!$B$9,Paramètres!$A$1:$I$89,5,0)</f>
        <v>238.50527999999997</v>
      </c>
      <c r="P62" s="14">
        <f t="shared" si="33"/>
        <v>58.117817352909881</v>
      </c>
      <c r="Q62" s="22">
        <f t="shared" si="53"/>
        <v>516.61856122298457</v>
      </c>
      <c r="R62" s="62">
        <f t="shared" si="0"/>
        <v>809.95189455631794</v>
      </c>
      <c r="S62" s="62">
        <f ca="1">AVERAGE(OFFSET($R$3,0,0,'Données projet'!$E$9+1,1))-AVERAGE(OFFSET($H$3,0,0,'Données projet'!$E$9+1,1))</f>
        <v>429.08375622925655</v>
      </c>
      <c r="T62" s="62">
        <f t="shared" si="34"/>
        <v>278.21741231699929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5.038430507637706E-4</v>
      </c>
      <c r="AC62" s="24">
        <f t="shared" si="3"/>
        <v>5.038430507637706E-4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9.4</v>
      </c>
      <c r="AI62" s="14">
        <f>IF('Données projet'!$A$62&gt;35,AI61+AH62-AQ61,IF(A62&lt;'Données projet'!$A$62,$AF$205^A62,IF(A62='Données projet'!$A$62,'Données projet'!$B$62,AI61+AH62-AQ61)))</f>
        <v>263.59999999999997</v>
      </c>
      <c r="AJ62" s="14">
        <f>AI62*VLOOKUP('Données projet'!$B$10,Paramètres!$A$1:$I$89,3,0)*VLOOKUP('Données projet'!$B$10,Paramètres!$A$1:$I$89,5,0)</f>
        <v>250.84175999999997</v>
      </c>
      <c r="AK62" s="14">
        <f t="shared" si="35"/>
        <v>60.766155809340432</v>
      </c>
      <c r="AL62" s="22">
        <f t="shared" si="4"/>
        <v>542.71712003460118</v>
      </c>
      <c r="AM62" s="62">
        <f t="shared" si="5"/>
        <v>836.05045336793455</v>
      </c>
      <c r="AN62" s="62">
        <f ca="1">AVERAGE(OFFSET($AM$3,0,0,'Données projet'!$E$10+1,1))-AVERAGE(OFFSET($H$3,0,0,'Données projet'!$E$10+1,1))</f>
        <v>449.16408464351673</v>
      </c>
      <c r="AO62" s="62">
        <f t="shared" si="36"/>
        <v>290.39826583283588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5.2990389821706938E-4</v>
      </c>
      <c r="AX62" s="23">
        <f t="shared" si="6"/>
        <v>5.2990389821706938E-4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9.4</v>
      </c>
      <c r="BD62" s="13">
        <f>IF('Données projet'!$A$88&gt;35,BD61+BC62-BL61,IF(A62&lt;'Données projet'!$A$88,$BA$205^A62,IF(A62='Données projet'!$A$88,'Données projet'!$B$88,BD61+BC62-BL61)))</f>
        <v>263.59999999999997</v>
      </c>
      <c r="BE62" s="14">
        <f>BD62*VLOOKUP('Données projet'!$B$11,Paramètres!$A$1:$I$89,3,0)*VLOOKUP('Données projet'!$B$11,Paramètres!$A$1:$I$89,5,0)</f>
        <v>254.95391999999998</v>
      </c>
      <c r="BF62" s="14">
        <f t="shared" si="37"/>
        <v>61.645533788540583</v>
      </c>
      <c r="BG62" s="22">
        <f t="shared" si="7"/>
        <v>551.41071534837477</v>
      </c>
      <c r="BH62" s="62">
        <f t="shared" si="8"/>
        <v>844.74404868170814</v>
      </c>
      <c r="BI62" s="62">
        <f ca="1">AVERAGE(OFFSET($BH$3,0,0,'Données projet'!$E$11+1,1))-AVERAGE(OFFSET($H$3,0,0,'Données projet'!$E$11+1,1))</f>
        <v>455.85294519779609</v>
      </c>
      <c r="BJ62" s="62">
        <f t="shared" si="38"/>
        <v>294.45557293177131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5.3859084736816872E-4</v>
      </c>
      <c r="BS62" s="24">
        <f t="shared" si="9"/>
        <v>5.3859084736816872E-4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5.6843418860808015E-14</v>
      </c>
      <c r="BZ62" s="14">
        <f>BY62*VLOOKUP('Données projet'!$B$12,Paramètres!$A$1:$I$89,3,0)*VLOOKUP('Données projet'!$B$12,Paramètres!$A$1:$I$89,5,0)</f>
        <v>4.9658410716801891E-14</v>
      </c>
      <c r="CA62" s="14">
        <f t="shared" si="39"/>
        <v>8.0934058173791862E-13</v>
      </c>
      <c r="CB62" s="22">
        <f t="shared" si="10"/>
        <v>1.4960899118586383E-12</v>
      </c>
      <c r="CC62" s="62">
        <f t="shared" si="11"/>
        <v>293.33333333333479</v>
      </c>
      <c r="CD62" s="62">
        <f ca="1">AVERAGE(OFFSET($CC$3,0,0,'Données projet'!$E$12+1,1))-AVERAGE(OFFSET($H$3,0,0,'Données projet'!$E$12+1,1))</f>
        <v>304.32767345253382</v>
      </c>
      <c r="CE62" s="62">
        <f t="shared" si="40"/>
        <v>427.16091343339173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-5.6843418860808015E-14</v>
      </c>
      <c r="CU62" s="18">
        <f>CT62*VLOOKUP('Données projet'!$B$13,Paramètres!$A$1:$I$89,3,0)*VLOOKUP('Données projet'!$B$13,Paramètres!$A$1:$I$89,5,0)</f>
        <v>-5.1431925385259088E-14</v>
      </c>
      <c r="CV62" s="14" t="e">
        <f t="shared" si="41"/>
        <v>#NUM!</v>
      </c>
      <c r="CW62" s="22" t="e">
        <f t="shared" si="13"/>
        <v>#NUM!</v>
      </c>
      <c r="CX62" s="62" t="e">
        <f t="shared" si="14"/>
        <v>#NUM!</v>
      </c>
      <c r="CY62" s="62">
        <f ca="1">AVERAGE(OFFSET($CX$3,0,0,'Données projet'!$E$13+1,1))-AVERAGE(OFFSET($H$3,0,0,'Données projet'!$E$13+1,1))</f>
        <v>350.06545824795847</v>
      </c>
      <c r="CZ62" s="62">
        <f t="shared" si="42"/>
        <v>513.80016421153414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9.4</v>
      </c>
      <c r="DO62" s="13">
        <f>IF('Données projet'!$A$166&gt;35,DO61+DN62-DW61,IF(A62&lt;'Données projet'!$A$166,$DL$205^A62,IF(A62='Données projet'!$A$166,'Données projet'!$B$166,DO61+DN62-DW61)))</f>
        <v>263.59999999999997</v>
      </c>
      <c r="DP62" s="18">
        <f>DO62*VLOOKUP('Données projet'!$B$14,Paramètres!$A$1:$I$89,3,0)*VLOOKUP('Données projet'!$B$14,Paramètres!$A$1:$I$89,5,0)</f>
        <v>209.72015999999996</v>
      </c>
      <c r="DQ62" s="14">
        <f t="shared" si="43"/>
        <v>51.874428872585767</v>
      </c>
      <c r="DR62" s="22">
        <f t="shared" si="16"/>
        <v>455.61057561975349</v>
      </c>
      <c r="DS62" s="62">
        <f t="shared" si="17"/>
        <v>748.94390895308675</v>
      </c>
      <c r="DT62" s="62">
        <f ca="1">AVERAGE(OFFSET($DS$3,0,0,'Données projet'!$E$14+1,1))-AVERAGE(OFFSET($H$3,0,0,'Données projet'!$E$14+1,1))</f>
        <v>382.14353215900121</v>
      </c>
      <c r="DU62" s="62">
        <f t="shared" si="44"/>
        <v>249.73945975250177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4.430344067060745E-4</v>
      </c>
      <c r="ED62" s="24">
        <f t="shared" si="18"/>
        <v>4.430344067060745E-4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273</v>
      </c>
      <c r="L63" s="13">
        <f>VLOOKUP(A63,'Données projet'!$A$35:$I$55,9,0)</f>
        <v>9.4</v>
      </c>
      <c r="M63" s="13">
        <f t="array" ref="M63">INDEX(L:L,MIN(IF(ISNUMBER(L63:L259),ROW(L63:L259),"")))</f>
        <v>9.4</v>
      </c>
      <c r="N63" s="14">
        <f>IF('Données projet'!$A$36&gt;35,N62+M63-V62,IF(A63&lt;'Données projet'!$A$36,$K$205^A63,IF(A63='Données projet'!$A$36,'Données projet'!$B$36,N62+M63-V62)))</f>
        <v>272.99999999999994</v>
      </c>
      <c r="O63" s="14">
        <f>N63*VLOOKUP('Données projet'!$B$9,Paramètres!$A$1:$I$89,3,0)*VLOOKUP('Données projet'!$B$9,Paramètres!$A$1:$I$89,5,0)</f>
        <v>247.01039999999992</v>
      </c>
      <c r="P63" s="14">
        <f t="shared" si="33"/>
        <v>59.945315462121812</v>
      </c>
      <c r="Q63" s="22">
        <f t="shared" si="53"/>
        <v>534.61453776319524</v>
      </c>
      <c r="R63" s="62">
        <f t="shared" si="0"/>
        <v>827.94787109652862</v>
      </c>
      <c r="S63" s="62">
        <f ca="1">AVERAGE(OFFSET($R$3,0,0,'Données projet'!$E$9+1,1))-AVERAGE(OFFSET($H$3,0,0,'Données projet'!$E$9+1,1))</f>
        <v>429.08375622925655</v>
      </c>
      <c r="T63" s="62">
        <f t="shared" si="34"/>
        <v>278.21741231699929</v>
      </c>
      <c r="U63" s="16">
        <f>IF(ISNA(VLOOKUP(A63,'Données projet'!$A$35:$I$55,3,0)),0,VLOOKUP(A63,'Données projet'!$A$35:$I$55,3,0))</f>
        <v>9</v>
      </c>
      <c r="V63" s="16">
        <f>IF(ISNA(VLOOKUP(A63,'Données projet'!$A$35:$I$55,4,0)),0,VLOOKUP(A63,'Données projet'!$A$35:$I$55,4,0))</f>
        <v>28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3.562708378487801E-4</v>
      </c>
      <c r="AC63" s="24">
        <f t="shared" si="3"/>
        <v>3.562708378487801E-4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273</v>
      </c>
      <c r="AG63" s="13">
        <f>VLOOKUP(A63,'Données projet'!$A$61:$I$81,9,0)</f>
        <v>9.4</v>
      </c>
      <c r="AH63" s="13">
        <f t="array" ref="AH63">INDEX(AG:AG,MIN(IF(ISNUMBER(AG63:AG259),ROW(AG63:AG259),"")))</f>
        <v>9.4</v>
      </c>
      <c r="AI63" s="14">
        <f>IF('Données projet'!$A$62&gt;35,AI62+AH63-AQ62,IF(A63&lt;'Données projet'!$A$62,$AF$205^A63,IF(A63='Données projet'!$A$62,'Données projet'!$B$62,AI62+AH63-AQ62)))</f>
        <v>272.99999999999994</v>
      </c>
      <c r="AJ63" s="14">
        <f>AI63*VLOOKUP('Données projet'!$B$10,Paramètres!$A$1:$I$89,3,0)*VLOOKUP('Données projet'!$B$10,Paramètres!$A$1:$I$89,5,0)</f>
        <v>259.78679999999997</v>
      </c>
      <c r="AK63" s="14">
        <f t="shared" si="35"/>
        <v>62.676930162260739</v>
      </c>
      <c r="AL63" s="22">
        <f t="shared" si="4"/>
        <v>561.62433003260401</v>
      </c>
      <c r="AM63" s="62">
        <f t="shared" si="5"/>
        <v>854.95766336593738</v>
      </c>
      <c r="AN63" s="62">
        <f ca="1">AVERAGE(OFFSET($AM$3,0,0,'Données projet'!$E$10+1,1))-AVERAGE(OFFSET($H$3,0,0,'Données projet'!$E$10+1,1))</f>
        <v>449.16408464351673</v>
      </c>
      <c r="AO63" s="62">
        <f t="shared" si="36"/>
        <v>290.39826583283588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28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3.7469863980647583E-4</v>
      </c>
      <c r="AX63" s="23">
        <f t="shared" si="6"/>
        <v>3.7469863980647583E-4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273</v>
      </c>
      <c r="BB63" s="13">
        <f>VLOOKUP(A63,'Données projet'!$A$87:$I$107,9,0)</f>
        <v>9.4</v>
      </c>
      <c r="BC63" s="13">
        <f t="array" ref="BC63">INDEX(BB:BB,MIN(IF(ISNUMBER(BB63:BB259),ROW(BB63:BB259),"")))</f>
        <v>9.4</v>
      </c>
      <c r="BD63" s="13">
        <f>IF('Données projet'!$A$88&gt;35,BD62+BC63-BL62,IF(A63&lt;'Données projet'!$A$88,$BA$205^A63,IF(A63='Données projet'!$A$88,'Données projet'!$B$88,BD62+BC63-BL62)))</f>
        <v>272.99999999999994</v>
      </c>
      <c r="BE63" s="14">
        <f>BD63*VLOOKUP('Données projet'!$B$11,Paramètres!$A$1:$I$89,3,0)*VLOOKUP('Données projet'!$B$11,Paramètres!$A$1:$I$89,5,0)</f>
        <v>264.04559999999992</v>
      </c>
      <c r="BF63" s="14">
        <f t="shared" si="37"/>
        <v>63.58395992997368</v>
      </c>
      <c r="BG63" s="22">
        <f t="shared" si="7"/>
        <v>570.62148354470401</v>
      </c>
      <c r="BH63" s="62">
        <f t="shared" si="8"/>
        <v>863.95481687803726</v>
      </c>
      <c r="BI63" s="62">
        <f ca="1">AVERAGE(OFFSET($BH$3,0,0,'Données projet'!$E$11+1,1))-AVERAGE(OFFSET($H$3,0,0,'Données projet'!$E$11+1,1))</f>
        <v>455.85294519779609</v>
      </c>
      <c r="BJ63" s="62">
        <f t="shared" si="38"/>
        <v>294.45557293177131</v>
      </c>
      <c r="BK63" s="16">
        <f>IF(ISNA(VLOOKUP(A63,'Données projet'!$A$87:$I$107,3,0)),0,VLOOKUP(A63,'Données projet'!$A$87:$I$107,3,0))</f>
        <v>9</v>
      </c>
      <c r="BL63" s="16">
        <f>IF(ISNA(VLOOKUP(A63,'Données projet'!$A$87:$I$107,4,0)),0,VLOOKUP(A63,'Données projet'!$A$87:$I$107,4,0))</f>
        <v>28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3.808412404590409E-4</v>
      </c>
      <c r="BS63" s="24">
        <f t="shared" si="9"/>
        <v>3.808412404590409E-4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5.6843418860808015E-14</v>
      </c>
      <c r="BZ63" s="14">
        <f>BY63*VLOOKUP('Données projet'!$B$12,Paramètres!$A$1:$I$89,3,0)*VLOOKUP('Données projet'!$B$12,Paramètres!$A$1:$I$89,5,0)</f>
        <v>4.9658410716801891E-14</v>
      </c>
      <c r="CA63" s="14">
        <f t="shared" si="39"/>
        <v>8.0934058173791862E-13</v>
      </c>
      <c r="CB63" s="22">
        <f t="shared" si="10"/>
        <v>1.4960899118586383E-12</v>
      </c>
      <c r="CC63" s="62">
        <f t="shared" si="11"/>
        <v>293.33333333333479</v>
      </c>
      <c r="CD63" s="62">
        <f ca="1">AVERAGE(OFFSET($CC$3,0,0,'Données projet'!$E$12+1,1))-AVERAGE(OFFSET($H$3,0,0,'Données projet'!$E$12+1,1))</f>
        <v>304.32767345253382</v>
      </c>
      <c r="CE63" s="62">
        <f t="shared" si="40"/>
        <v>427.16091343339173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-5.6843418860808015E-14</v>
      </c>
      <c r="CU63" s="18">
        <f>CT63*VLOOKUP('Données projet'!$B$13,Paramètres!$A$1:$I$89,3,0)*VLOOKUP('Données projet'!$B$13,Paramètres!$A$1:$I$89,5,0)</f>
        <v>-5.1431925385259088E-14</v>
      </c>
      <c r="CV63" s="14" t="e">
        <f t="shared" si="41"/>
        <v>#NUM!</v>
      </c>
      <c r="CW63" s="22" t="e">
        <f t="shared" si="13"/>
        <v>#NUM!</v>
      </c>
      <c r="CX63" s="62" t="e">
        <f t="shared" si="14"/>
        <v>#NUM!</v>
      </c>
      <c r="CY63" s="62">
        <f ca="1">AVERAGE(OFFSET($CX$3,0,0,'Données projet'!$E$13+1,1))-AVERAGE(OFFSET($H$3,0,0,'Données projet'!$E$13+1,1))</f>
        <v>350.06545824795847</v>
      </c>
      <c r="CZ63" s="62">
        <f t="shared" si="42"/>
        <v>513.80016421153414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273</v>
      </c>
      <c r="DM63" s="13">
        <f>VLOOKUP(A63,'Données projet'!$A$165:$I$185,9,0)</f>
        <v>9.4</v>
      </c>
      <c r="DN63" s="13">
        <f t="array" ref="DN63">INDEX(DM:DM,MIN(IF(ISNUMBER(DM63:DM259),ROW(DM63:DM259),"")))</f>
        <v>9.4</v>
      </c>
      <c r="DO63" s="13">
        <f>IF('Données projet'!$A$166&gt;35,DO62+DN63-DW62,IF(A63&lt;'Données projet'!$A$166,$DL$205^A63,IF(A63='Données projet'!$A$166,'Données projet'!$B$166,DO62+DN63-DW62)))</f>
        <v>272.99999999999994</v>
      </c>
      <c r="DP63" s="18">
        <f>DO63*VLOOKUP('Données projet'!$B$14,Paramètres!$A$1:$I$89,3,0)*VLOOKUP('Données projet'!$B$14,Paramètres!$A$1:$I$89,5,0)</f>
        <v>217.19879999999995</v>
      </c>
      <c r="DQ63" s="14">
        <f t="shared" si="43"/>
        <v>53.505605420483995</v>
      </c>
      <c r="DR63" s="22">
        <f t="shared" si="16"/>
        <v>471.4768394406762</v>
      </c>
      <c r="DS63" s="62">
        <f t="shared" si="17"/>
        <v>764.81017277400952</v>
      </c>
      <c r="DT63" s="62">
        <f ca="1">AVERAGE(OFFSET($DS$3,0,0,'Données projet'!$E$14+1,1))-AVERAGE(OFFSET($H$3,0,0,'Données projet'!$E$14+1,1))</f>
        <v>382.14353215900121</v>
      </c>
      <c r="DU63" s="62">
        <f t="shared" si="44"/>
        <v>249.73945975250177</v>
      </c>
      <c r="DV63" s="16">
        <f>IF(ISNA(VLOOKUP(A63,'Données projet'!$A$165:$I$185,3,0)),0,VLOOKUP(A63,'Données projet'!$A$165:$I$185,3,0))</f>
        <v>9</v>
      </c>
      <c r="DW63" s="16">
        <f>IF(ISNA(VLOOKUP(A63,'Données projet'!$A$165:$I$185,4,0)),0,VLOOKUP(A63,'Données projet'!$A$165:$I$185,4,0))</f>
        <v>28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3.1327263328082412E-4</v>
      </c>
      <c r="ED63" s="24">
        <f t="shared" si="18"/>
        <v>3.1327263328082412E-4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8.8000000000000007</v>
      </c>
      <c r="N64" s="14">
        <f>IF('Données projet'!$A$36&gt;35,N63+M64-V63,IF(A64&lt;'Données projet'!$A$36,$K$205^A64,IF(A64='Données projet'!$A$36,'Données projet'!$B$36,N63+M64-V63)))</f>
        <v>253.79999999999995</v>
      </c>
      <c r="O64" s="14">
        <f>N64*VLOOKUP('Données projet'!$B$9,Paramètres!$A$1:$I$89,3,0)*VLOOKUP('Données projet'!$B$9,Paramètres!$A$1:$I$89,5,0)</f>
        <v>229.63823999999994</v>
      </c>
      <c r="P64" s="14">
        <f t="shared" si="33"/>
        <v>56.204453396569633</v>
      </c>
      <c r="Q64" s="22">
        <f t="shared" si="53"/>
        <v>497.84269099902531</v>
      </c>
      <c r="R64" s="62">
        <f t="shared" si="0"/>
        <v>791.17602433235857</v>
      </c>
      <c r="S64" s="62">
        <f ca="1">AVERAGE(OFFSET($R$3,0,0,'Données projet'!$E$9+1,1))-AVERAGE(OFFSET($H$3,0,0,'Données projet'!$E$9+1,1))</f>
        <v>429.08375622925655</v>
      </c>
      <c r="T64" s="62">
        <f t="shared" si="34"/>
        <v>278.21741231699929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2.519215253818853E-4</v>
      </c>
      <c r="AC64" s="24">
        <f t="shared" si="3"/>
        <v>2.519215253818853E-4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8.8000000000000007</v>
      </c>
      <c r="AI64" s="14">
        <f>IF('Données projet'!$A$62&gt;35,AI63+AH64-AQ63,IF(A64&lt;'Données projet'!$A$62,$AF$205^A64,IF(A64='Données projet'!$A$62,'Données projet'!$B$62,AI63+AH64-AQ63)))</f>
        <v>253.79999999999995</v>
      </c>
      <c r="AJ64" s="14">
        <f>AI64*VLOOKUP('Données projet'!$B$10,Paramètres!$A$1:$I$89,3,0)*VLOOKUP('Données projet'!$B$10,Paramètres!$A$1:$I$89,5,0)</f>
        <v>241.51607999999993</v>
      </c>
      <c r="AK64" s="14">
        <f t="shared" si="35"/>
        <v>58.765602836317846</v>
      </c>
      <c r="AL64" s="22">
        <f t="shared" si="4"/>
        <v>522.99059760658679</v>
      </c>
      <c r="AM64" s="62">
        <f t="shared" si="5"/>
        <v>816.32393093992005</v>
      </c>
      <c r="AN64" s="62">
        <f ca="1">AVERAGE(OFFSET($AM$3,0,0,'Données projet'!$E$10+1,1))-AVERAGE(OFFSET($H$3,0,0,'Données projet'!$E$10+1,1))</f>
        <v>449.16408464351673</v>
      </c>
      <c r="AO64" s="62">
        <f t="shared" si="36"/>
        <v>290.39826583283588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2.6495194910853469E-4</v>
      </c>
      <c r="AX64" s="23">
        <f t="shared" si="6"/>
        <v>2.6495194910853469E-4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8.8000000000000007</v>
      </c>
      <c r="BD64" s="13">
        <f>IF('Données projet'!$A$88&gt;35,BD63+BC64-BL63,IF(A64&lt;'Données projet'!$A$88,$BA$205^A64,IF(A64='Données projet'!$A$88,'Données projet'!$B$88,BD63+BC64-BL63)))</f>
        <v>253.79999999999995</v>
      </c>
      <c r="BE64" s="14">
        <f>BD64*VLOOKUP('Données projet'!$B$11,Paramètres!$A$1:$I$89,3,0)*VLOOKUP('Données projet'!$B$11,Paramètres!$A$1:$I$89,5,0)</f>
        <v>245.47535999999997</v>
      </c>
      <c r="BF64" s="14">
        <f t="shared" si="37"/>
        <v>59.616029794883758</v>
      </c>
      <c r="BG64" s="22">
        <f t="shared" si="7"/>
        <v>531.36750389275585</v>
      </c>
      <c r="BH64" s="62">
        <f t="shared" si="8"/>
        <v>824.70083722608911</v>
      </c>
      <c r="BI64" s="62">
        <f ca="1">AVERAGE(OFFSET($BH$3,0,0,'Données projet'!$E$11+1,1))-AVERAGE(OFFSET($H$3,0,0,'Données projet'!$E$11+1,1))</f>
        <v>455.85294519779609</v>
      </c>
      <c r="BJ64" s="62">
        <f t="shared" si="38"/>
        <v>294.45557293177131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2.6929542368408436E-4</v>
      </c>
      <c r="BS64" s="24">
        <f t="shared" si="9"/>
        <v>2.6929542368408436E-4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5.6843418860808015E-14</v>
      </c>
      <c r="BZ64" s="14">
        <f>BY64*VLOOKUP('Données projet'!$B$12,Paramètres!$A$1:$I$89,3,0)*VLOOKUP('Données projet'!$B$12,Paramètres!$A$1:$I$89,5,0)</f>
        <v>4.9658410716801891E-14</v>
      </c>
      <c r="CA64" s="14">
        <f t="shared" si="39"/>
        <v>8.0934058173791862E-13</v>
      </c>
      <c r="CB64" s="22">
        <f t="shared" si="10"/>
        <v>1.4960899118586383E-12</v>
      </c>
      <c r="CC64" s="62">
        <f t="shared" si="11"/>
        <v>293.33333333333479</v>
      </c>
      <c r="CD64" s="62">
        <f ca="1">AVERAGE(OFFSET($CC$3,0,0,'Données projet'!$E$12+1,1))-AVERAGE(OFFSET($H$3,0,0,'Données projet'!$E$12+1,1))</f>
        <v>304.32767345253382</v>
      </c>
      <c r="CE64" s="62">
        <f t="shared" si="40"/>
        <v>427.16091343339173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-5.6843418860808015E-14</v>
      </c>
      <c r="CU64" s="18">
        <f>CT64*VLOOKUP('Données projet'!$B$13,Paramètres!$A$1:$I$89,3,0)*VLOOKUP('Données projet'!$B$13,Paramètres!$A$1:$I$89,5,0)</f>
        <v>-5.1431925385259088E-14</v>
      </c>
      <c r="CV64" s="14" t="e">
        <f t="shared" si="41"/>
        <v>#NUM!</v>
      </c>
      <c r="CW64" s="22" t="e">
        <f t="shared" si="13"/>
        <v>#NUM!</v>
      </c>
      <c r="CX64" s="62" t="e">
        <f t="shared" si="14"/>
        <v>#NUM!</v>
      </c>
      <c r="CY64" s="62">
        <f ca="1">AVERAGE(OFFSET($CX$3,0,0,'Données projet'!$E$13+1,1))-AVERAGE(OFFSET($H$3,0,0,'Données projet'!$E$13+1,1))</f>
        <v>350.06545824795847</v>
      </c>
      <c r="CZ64" s="62">
        <f t="shared" si="42"/>
        <v>513.80016421153414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8.8000000000000007</v>
      </c>
      <c r="DO64" s="13">
        <f>IF('Données projet'!$A$166&gt;35,DO63+DN64-DW63,IF(A64&lt;'Données projet'!$A$166,$DL$205^A64,IF(A64='Données projet'!$A$166,'Données projet'!$B$166,DO63+DN64-DW63)))</f>
        <v>253.79999999999995</v>
      </c>
      <c r="DP64" s="18">
        <f>DO64*VLOOKUP('Données projet'!$B$14,Paramètres!$A$1:$I$89,3,0)*VLOOKUP('Données projet'!$B$14,Paramètres!$A$1:$I$89,5,0)</f>
        <v>201.92327999999998</v>
      </c>
      <c r="DQ64" s="14">
        <f t="shared" si="43"/>
        <v>50.166610737265351</v>
      </c>
      <c r="DR64" s="22">
        <f t="shared" si="16"/>
        <v>439.05655970073713</v>
      </c>
      <c r="DS64" s="62">
        <f t="shared" si="17"/>
        <v>732.38989303407038</v>
      </c>
      <c r="DT64" s="62">
        <f ca="1">AVERAGE(OFFSET($DS$3,0,0,'Données projet'!$E$14+1,1))-AVERAGE(OFFSET($H$3,0,0,'Données projet'!$E$14+1,1))</f>
        <v>382.14353215900121</v>
      </c>
      <c r="DU64" s="62">
        <f t="shared" si="44"/>
        <v>249.73945975250177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2.2151720335303725E-4</v>
      </c>
      <c r="ED64" s="24">
        <f t="shared" si="18"/>
        <v>2.2151720335303725E-4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8.8000000000000007</v>
      </c>
      <c r="N65" s="14">
        <f>IF('Données projet'!$A$36&gt;35,N64+M65-V64,IF(A65&lt;'Données projet'!$A$36,$K$205^A65,IF(A65='Données projet'!$A$36,'Données projet'!$B$36,N64+M65-V64)))</f>
        <v>262.59999999999997</v>
      </c>
      <c r="O65" s="14">
        <f>N65*VLOOKUP('Données projet'!$B$9,Paramètres!$A$1:$I$89,3,0)*VLOOKUP('Données projet'!$B$9,Paramètres!$A$1:$I$89,5,0)</f>
        <v>237.60047999999995</v>
      </c>
      <c r="P65" s="14">
        <f t="shared" si="33"/>
        <v>57.922960533442058</v>
      </c>
      <c r="Q65" s="22">
        <f t="shared" si="53"/>
        <v>514.70332559574479</v>
      </c>
      <c r="R65" s="62">
        <f t="shared" si="0"/>
        <v>808.03665892907816</v>
      </c>
      <c r="S65" s="62">
        <f ca="1">AVERAGE(OFFSET($R$3,0,0,'Données projet'!$E$9+1,1))-AVERAGE(OFFSET($H$3,0,0,'Données projet'!$E$9+1,1))</f>
        <v>429.08375622925655</v>
      </c>
      <c r="T65" s="62">
        <f t="shared" si="34"/>
        <v>278.21741231699929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1.7813541892439005E-4</v>
      </c>
      <c r="AC65" s="24">
        <f t="shared" si="3"/>
        <v>1.7813541892439005E-4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8.8000000000000007</v>
      </c>
      <c r="AI65" s="14">
        <f>IF('Données projet'!$A$62&gt;35,AI64+AH65-AQ64,IF(A65&lt;'Données projet'!$A$62,$AF$205^A65,IF(A65='Données projet'!$A$62,'Données projet'!$B$62,AI64+AH65-AQ64)))</f>
        <v>262.59999999999997</v>
      </c>
      <c r="AJ65" s="14">
        <f>AI65*VLOOKUP('Données projet'!$B$10,Paramètres!$A$1:$I$89,3,0)*VLOOKUP('Données projet'!$B$10,Paramètres!$A$1:$I$89,5,0)</f>
        <v>249.89015999999998</v>
      </c>
      <c r="AK65" s="14">
        <f t="shared" si="35"/>
        <v>60.562419667970957</v>
      </c>
      <c r="AL65" s="22">
        <f t="shared" si="4"/>
        <v>540.70490958838275</v>
      </c>
      <c r="AM65" s="62">
        <f t="shared" si="5"/>
        <v>834.03824292171612</v>
      </c>
      <c r="AN65" s="62">
        <f ca="1">AVERAGE(OFFSET($AM$3,0,0,'Données projet'!$E$10+1,1))-AVERAGE(OFFSET($H$3,0,0,'Données projet'!$E$10+1,1))</f>
        <v>449.16408464351673</v>
      </c>
      <c r="AO65" s="62">
        <f t="shared" si="36"/>
        <v>290.39826583283588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1.8734931990323792E-4</v>
      </c>
      <c r="AX65" s="23">
        <f t="shared" si="6"/>
        <v>1.8734931990323792E-4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8.8000000000000007</v>
      </c>
      <c r="BD65" s="13">
        <f>IF('Données projet'!$A$88&gt;35,BD64+BC65-BL64,IF(A65&lt;'Données projet'!$A$88,$BA$205^A65,IF(A65='Données projet'!$A$88,'Données projet'!$B$88,BD64+BC65-BL64)))</f>
        <v>262.59999999999997</v>
      </c>
      <c r="BE65" s="14">
        <f>BD65*VLOOKUP('Données projet'!$B$11,Paramètres!$A$1:$I$89,3,0)*VLOOKUP('Données projet'!$B$11,Paramètres!$A$1:$I$89,5,0)</f>
        <v>253.98671999999999</v>
      </c>
      <c r="BF65" s="14">
        <f t="shared" si="37"/>
        <v>61.438849277739124</v>
      </c>
      <c r="BG65" s="22">
        <f t="shared" si="7"/>
        <v>549.3661998253956</v>
      </c>
      <c r="BH65" s="62">
        <f t="shared" si="8"/>
        <v>842.69953315872885</v>
      </c>
      <c r="BI65" s="62">
        <f ca="1">AVERAGE(OFFSET($BH$3,0,0,'Données projet'!$E$11+1,1))-AVERAGE(OFFSET($H$3,0,0,'Données projet'!$E$11+1,1))</f>
        <v>455.85294519779609</v>
      </c>
      <c r="BJ65" s="62">
        <f t="shared" si="38"/>
        <v>294.45557293177131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1.9042062022952045E-4</v>
      </c>
      <c r="BS65" s="24">
        <f t="shared" si="9"/>
        <v>1.9042062022952045E-4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5.6843418860808015E-14</v>
      </c>
      <c r="BZ65" s="14">
        <f>BY65*VLOOKUP('Données projet'!$B$12,Paramètres!$A$1:$I$89,3,0)*VLOOKUP('Données projet'!$B$12,Paramètres!$A$1:$I$89,5,0)</f>
        <v>4.9658410716801891E-14</v>
      </c>
      <c r="CA65" s="14">
        <f t="shared" si="39"/>
        <v>8.0934058173791862E-13</v>
      </c>
      <c r="CB65" s="22">
        <f t="shared" si="10"/>
        <v>1.4960899118586383E-12</v>
      </c>
      <c r="CC65" s="62">
        <f t="shared" si="11"/>
        <v>293.33333333333479</v>
      </c>
      <c r="CD65" s="62">
        <f ca="1">AVERAGE(OFFSET($CC$3,0,0,'Données projet'!$E$12+1,1))-AVERAGE(OFFSET($H$3,0,0,'Données projet'!$E$12+1,1))</f>
        <v>304.32767345253382</v>
      </c>
      <c r="CE65" s="62">
        <f t="shared" si="40"/>
        <v>427.16091343339173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-5.6843418860808015E-14</v>
      </c>
      <c r="CU65" s="18">
        <f>CT65*VLOOKUP('Données projet'!$B$13,Paramètres!$A$1:$I$89,3,0)*VLOOKUP('Données projet'!$B$13,Paramètres!$A$1:$I$89,5,0)</f>
        <v>-5.1431925385259088E-14</v>
      </c>
      <c r="CV65" s="14" t="e">
        <f t="shared" si="41"/>
        <v>#NUM!</v>
      </c>
      <c r="CW65" s="22" t="e">
        <f t="shared" si="13"/>
        <v>#NUM!</v>
      </c>
      <c r="CX65" s="62" t="e">
        <f t="shared" si="14"/>
        <v>#NUM!</v>
      </c>
      <c r="CY65" s="62">
        <f ca="1">AVERAGE(OFFSET($CX$3,0,0,'Données projet'!$E$13+1,1))-AVERAGE(OFFSET($H$3,0,0,'Données projet'!$E$13+1,1))</f>
        <v>350.06545824795847</v>
      </c>
      <c r="CZ65" s="62">
        <f t="shared" si="42"/>
        <v>513.80016421153414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8.8000000000000007</v>
      </c>
      <c r="DO65" s="13">
        <f>IF('Données projet'!$A$166&gt;35,DO64+DN65-DW64,IF(A65&lt;'Données projet'!$A$166,$DL$205^A65,IF(A65='Données projet'!$A$166,'Données projet'!$B$166,DO64+DN65-DW64)))</f>
        <v>262.59999999999997</v>
      </c>
      <c r="DP65" s="18">
        <f>DO65*VLOOKUP('Données projet'!$B$14,Paramètres!$A$1:$I$89,3,0)*VLOOKUP('Données projet'!$B$14,Paramètres!$A$1:$I$89,5,0)</f>
        <v>208.92455999999999</v>
      </c>
      <c r="DQ65" s="14">
        <f t="shared" si="43"/>
        <v>51.700504821714368</v>
      </c>
      <c r="DR65" s="22">
        <f t="shared" si="16"/>
        <v>453.92198789781924</v>
      </c>
      <c r="DS65" s="62">
        <f t="shared" si="17"/>
        <v>747.25532123115249</v>
      </c>
      <c r="DT65" s="62">
        <f ca="1">AVERAGE(OFFSET($DS$3,0,0,'Données projet'!$E$14+1,1))-AVERAGE(OFFSET($H$3,0,0,'Données projet'!$E$14+1,1))</f>
        <v>382.14353215900121</v>
      </c>
      <c r="DU65" s="62">
        <f t="shared" si="44"/>
        <v>249.73945975250177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1.5663631664041206E-4</v>
      </c>
      <c r="ED65" s="24">
        <f t="shared" si="18"/>
        <v>1.5663631664041206E-4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8.8000000000000007</v>
      </c>
      <c r="N66" s="14">
        <f>IF('Données projet'!$A$36&gt;35,N65+M66-V65,IF(A66&lt;'Données projet'!$A$36,$K$205^A66,IF(A66='Données projet'!$A$36,'Données projet'!$B$36,N65+M66-V65)))</f>
        <v>271.39999999999998</v>
      </c>
      <c r="O66" s="14">
        <f>N66*VLOOKUP('Données projet'!$B$9,Paramètres!$A$1:$I$89,3,0)*VLOOKUP('Données projet'!$B$9,Paramètres!$A$1:$I$89,5,0)</f>
        <v>245.56271999999998</v>
      </c>
      <c r="P66" s="14">
        <f t="shared" si="33"/>
        <v>59.634776048276898</v>
      </c>
      <c r="Q66" s="22">
        <f t="shared" si="53"/>
        <v>531.55230561741564</v>
      </c>
      <c r="R66" s="62">
        <f t="shared" si="0"/>
        <v>824.8856389507489</v>
      </c>
      <c r="S66" s="62">
        <f ca="1">AVERAGE(OFFSET($R$3,0,0,'Données projet'!$E$9+1,1))-AVERAGE(OFFSET($H$3,0,0,'Données projet'!$E$9+1,1))</f>
        <v>429.08375622925655</v>
      </c>
      <c r="T66" s="62">
        <f t="shared" si="34"/>
        <v>278.21741231699929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1.2596076269094265E-4</v>
      </c>
      <c r="AC66" s="24">
        <f t="shared" si="3"/>
        <v>1.2596076269094265E-4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8.8000000000000007</v>
      </c>
      <c r="AI66" s="14">
        <f>IF('Données projet'!$A$62&gt;35,AI65+AH66-AQ65,IF(A66&lt;'Données projet'!$A$62,$AF$205^A66,IF(A66='Données projet'!$A$62,'Données projet'!$B$62,AI65+AH66-AQ65)))</f>
        <v>271.39999999999998</v>
      </c>
      <c r="AJ66" s="14">
        <f>AI66*VLOOKUP('Données projet'!$B$10,Paramètres!$A$1:$I$89,3,0)*VLOOKUP('Données projet'!$B$10,Paramètres!$A$1:$I$89,5,0)</f>
        <v>258.26423999999997</v>
      </c>
      <c r="AK66" s="14">
        <f t="shared" si="35"/>
        <v>62.352239950788103</v>
      </c>
      <c r="AL66" s="22">
        <f t="shared" si="4"/>
        <v>558.40703591428917</v>
      </c>
      <c r="AM66" s="62">
        <f t="shared" si="5"/>
        <v>851.74036924762254</v>
      </c>
      <c r="AN66" s="62">
        <f ca="1">AVERAGE(OFFSET($AM$3,0,0,'Données projet'!$E$10+1,1))-AVERAGE(OFFSET($H$3,0,0,'Données projet'!$E$10+1,1))</f>
        <v>449.16408464351673</v>
      </c>
      <c r="AO66" s="62">
        <f t="shared" si="36"/>
        <v>290.39826583283588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1.3247597455426734E-4</v>
      </c>
      <c r="AX66" s="23">
        <f t="shared" si="6"/>
        <v>1.3247597455426734E-4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8.8000000000000007</v>
      </c>
      <c r="BD66" s="13">
        <f>IF('Données projet'!$A$88&gt;35,BD65+BC66-BL65,IF(A66&lt;'Données projet'!$A$88,$BA$205^A66,IF(A66='Données projet'!$A$88,'Données projet'!$B$88,BD65+BC66-BL65)))</f>
        <v>271.39999999999998</v>
      </c>
      <c r="BE66" s="14">
        <f>BD66*VLOOKUP('Données projet'!$B$11,Paramètres!$A$1:$I$89,3,0)*VLOOKUP('Données projet'!$B$11,Paramètres!$A$1:$I$89,5,0)</f>
        <v>262.49807999999996</v>
      </c>
      <c r="BF66" s="14">
        <f t="shared" si="37"/>
        <v>63.254570961138086</v>
      </c>
      <c r="BG66" s="22">
        <f t="shared" si="7"/>
        <v>567.35253375731543</v>
      </c>
      <c r="BH66" s="62">
        <f t="shared" si="8"/>
        <v>860.6858670906488</v>
      </c>
      <c r="BI66" s="62">
        <f ca="1">AVERAGE(OFFSET($BH$3,0,0,'Données projet'!$E$11+1,1))-AVERAGE(OFFSET($H$3,0,0,'Données projet'!$E$11+1,1))</f>
        <v>455.85294519779609</v>
      </c>
      <c r="BJ66" s="62">
        <f t="shared" si="38"/>
        <v>294.45557293177131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1.3464771184204218E-4</v>
      </c>
      <c r="BS66" s="24">
        <f t="shared" si="9"/>
        <v>1.3464771184204218E-4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5.6843418860808015E-14</v>
      </c>
      <c r="BZ66" s="14">
        <f>BY66*VLOOKUP('Données projet'!$B$12,Paramètres!$A$1:$I$89,3,0)*VLOOKUP('Données projet'!$B$12,Paramètres!$A$1:$I$89,5,0)</f>
        <v>4.9658410716801891E-14</v>
      </c>
      <c r="CA66" s="14">
        <f t="shared" si="39"/>
        <v>8.0934058173791862E-13</v>
      </c>
      <c r="CB66" s="22">
        <f t="shared" si="10"/>
        <v>1.4960899118586383E-12</v>
      </c>
      <c r="CC66" s="62">
        <f t="shared" si="11"/>
        <v>293.33333333333479</v>
      </c>
      <c r="CD66" s="62">
        <f ca="1">AVERAGE(OFFSET($CC$3,0,0,'Données projet'!$E$12+1,1))-AVERAGE(OFFSET($H$3,0,0,'Données projet'!$E$12+1,1))</f>
        <v>304.32767345253382</v>
      </c>
      <c r="CE66" s="62">
        <f t="shared" si="40"/>
        <v>427.16091343339173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-5.6843418860808015E-14</v>
      </c>
      <c r="CU66" s="18">
        <f>CT66*VLOOKUP('Données projet'!$B$13,Paramètres!$A$1:$I$89,3,0)*VLOOKUP('Données projet'!$B$13,Paramètres!$A$1:$I$89,5,0)</f>
        <v>-5.1431925385259088E-14</v>
      </c>
      <c r="CV66" s="14" t="e">
        <f t="shared" si="41"/>
        <v>#NUM!</v>
      </c>
      <c r="CW66" s="22" t="e">
        <f t="shared" si="13"/>
        <v>#NUM!</v>
      </c>
      <c r="CX66" s="62" t="e">
        <f t="shared" si="14"/>
        <v>#NUM!</v>
      </c>
      <c r="CY66" s="62">
        <f ca="1">AVERAGE(OFFSET($CX$3,0,0,'Données projet'!$E$13+1,1))-AVERAGE(OFFSET($H$3,0,0,'Données projet'!$E$13+1,1))</f>
        <v>350.06545824795847</v>
      </c>
      <c r="CZ66" s="62">
        <f t="shared" si="42"/>
        <v>513.80016421153414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8.8000000000000007</v>
      </c>
      <c r="DO66" s="13">
        <f>IF('Données projet'!$A$166&gt;35,DO65+DN66-DW65,IF(A66&lt;'Données projet'!$A$166,$DL$205^A66,IF(A66='Données projet'!$A$166,'Données projet'!$B$166,DO65+DN66-DW65)))</f>
        <v>271.39999999999998</v>
      </c>
      <c r="DP66" s="18">
        <f>DO66*VLOOKUP('Données projet'!$B$14,Paramètres!$A$1:$I$89,3,0)*VLOOKUP('Données projet'!$B$14,Paramètres!$A$1:$I$89,5,0)</f>
        <v>215.92583999999999</v>
      </c>
      <c r="DQ66" s="14">
        <f t="shared" si="43"/>
        <v>53.22842614105901</v>
      </c>
      <c r="DR66" s="22">
        <f t="shared" si="16"/>
        <v>468.77701352901107</v>
      </c>
      <c r="DS66" s="62">
        <f t="shared" si="17"/>
        <v>762.11034686234439</v>
      </c>
      <c r="DT66" s="62">
        <f ca="1">AVERAGE(OFFSET($DS$3,0,0,'Données projet'!$E$14+1,1))-AVERAGE(OFFSET($H$3,0,0,'Données projet'!$E$14+1,1))</f>
        <v>382.14353215900121</v>
      </c>
      <c r="DU66" s="62">
        <f t="shared" si="44"/>
        <v>249.73945975250177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1.1075860167651862E-4</v>
      </c>
      <c r="ED66" s="24">
        <f t="shared" si="18"/>
        <v>1.1075860167651862E-4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8.8000000000000007</v>
      </c>
      <c r="N67" s="14">
        <f>IF('Données projet'!$A$36&gt;35,N66+M67-V66,IF(A67&lt;'Données projet'!$A$36,$K$205^A67,IF(A67='Données projet'!$A$36,'Données projet'!$B$36,N66+M67-V66)))</f>
        <v>280.2</v>
      </c>
      <c r="O67" s="14">
        <f>N67*VLOOKUP('Données projet'!$B$9,Paramètres!$A$1:$I$89,3,0)*VLOOKUP('Données projet'!$B$9,Paramètres!$A$1:$I$89,5,0)</f>
        <v>253.52495999999999</v>
      </c>
      <c r="P67" s="14">
        <f t="shared" si="33"/>
        <v>61.340141798422209</v>
      </c>
      <c r="Q67" s="22">
        <f t="shared" ref="Q67:Q98" si="54">(O67+P67)*0.475*44/12</f>
        <v>548.39005229891859</v>
      </c>
      <c r="R67" s="62">
        <f t="shared" ref="R67:R130" si="55">Q67+(I67+J67)*44/12</f>
        <v>841.72338563225185</v>
      </c>
      <c r="S67" s="62">
        <f ca="1">AVERAGE(OFFSET($R$3,0,0,'Données projet'!$E$9+1,1))-AVERAGE(OFFSET($H$3,0,0,'Données projet'!$E$9+1,1))</f>
        <v>429.08375622925655</v>
      </c>
      <c r="T67" s="62">
        <f t="shared" si="34"/>
        <v>278.21741231699929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8.9067709462195026E-5</v>
      </c>
      <c r="AC67" s="24">
        <f t="shared" si="3"/>
        <v>8.9067709462195026E-5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8.8000000000000007</v>
      </c>
      <c r="AI67" s="14">
        <f>IF('Données projet'!$A$62&gt;35,AI66+AH67-AQ66,IF(A67&lt;'Données projet'!$A$62,$AF$205^A67,IF(A67='Données projet'!$A$62,'Données projet'!$B$62,AI66+AH67-AQ66)))</f>
        <v>280.2</v>
      </c>
      <c r="AJ67" s="14">
        <f>AI67*VLOOKUP('Données projet'!$B$10,Paramètres!$A$1:$I$89,3,0)*VLOOKUP('Données projet'!$B$10,Paramètres!$A$1:$I$89,5,0)</f>
        <v>266.63832000000002</v>
      </c>
      <c r="AK67" s="14">
        <f t="shared" si="35"/>
        <v>64.135316563180027</v>
      </c>
      <c r="AL67" s="22">
        <f t="shared" si="4"/>
        <v>576.09741701420523</v>
      </c>
      <c r="AM67" s="62">
        <f t="shared" si="5"/>
        <v>869.43075034753861</v>
      </c>
      <c r="AN67" s="62">
        <f ca="1">AVERAGE(OFFSET($AM$3,0,0,'Données projet'!$E$10+1,1))-AVERAGE(OFFSET($H$3,0,0,'Données projet'!$E$10+1,1))</f>
        <v>449.16408464351673</v>
      </c>
      <c r="AO67" s="62">
        <f t="shared" si="36"/>
        <v>290.39826583283588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9.3674659951618959E-5</v>
      </c>
      <c r="AX67" s="23">
        <f t="shared" si="6"/>
        <v>9.3674659951618959E-5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8.8000000000000007</v>
      </c>
      <c r="BD67" s="13">
        <f>IF('Données projet'!$A$88&gt;35,BD66+BC67-BL66,IF(A67&lt;'Données projet'!$A$88,$BA$205^A67,IF(A67='Données projet'!$A$88,'Données projet'!$B$88,BD66+BC67-BL66)))</f>
        <v>280.2</v>
      </c>
      <c r="BE67" s="14">
        <f>BD67*VLOOKUP('Données projet'!$B$11,Paramètres!$A$1:$I$89,3,0)*VLOOKUP('Données projet'!$B$11,Paramètres!$A$1:$I$89,5,0)</f>
        <v>271.00943999999998</v>
      </c>
      <c r="BF67" s="14">
        <f t="shared" si="37"/>
        <v>65.063451383023647</v>
      </c>
      <c r="BG67" s="22">
        <f t="shared" si="7"/>
        <v>585.32695249209939</v>
      </c>
      <c r="BH67" s="62">
        <f t="shared" si="8"/>
        <v>878.66028582543277</v>
      </c>
      <c r="BI67" s="62">
        <f ca="1">AVERAGE(OFFSET($BH$3,0,0,'Données projet'!$E$11+1,1))-AVERAGE(OFFSET($H$3,0,0,'Données projet'!$E$11+1,1))</f>
        <v>455.85294519779609</v>
      </c>
      <c r="BJ67" s="62">
        <f t="shared" si="38"/>
        <v>294.45557293177131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9.5210310114760224E-5</v>
      </c>
      <c r="BS67" s="24">
        <f t="shared" si="9"/>
        <v>9.5210310114760224E-5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5.6843418860808015E-14</v>
      </c>
      <c r="BZ67" s="14">
        <f>BY67*VLOOKUP('Données projet'!$B$12,Paramètres!$A$1:$I$89,3,0)*VLOOKUP('Données projet'!$B$12,Paramètres!$A$1:$I$89,5,0)</f>
        <v>4.9658410716801891E-14</v>
      </c>
      <c r="CA67" s="14">
        <f t="shared" si="39"/>
        <v>8.0934058173791862E-13</v>
      </c>
      <c r="CB67" s="22">
        <f t="shared" si="10"/>
        <v>1.4960899118586383E-12</v>
      </c>
      <c r="CC67" s="62">
        <f t="shared" si="11"/>
        <v>293.33333333333479</v>
      </c>
      <c r="CD67" s="62">
        <f ca="1">AVERAGE(OFFSET($CC$3,0,0,'Données projet'!$E$12+1,1))-AVERAGE(OFFSET($H$3,0,0,'Données projet'!$E$12+1,1))</f>
        <v>304.32767345253382</v>
      </c>
      <c r="CE67" s="62">
        <f t="shared" si="40"/>
        <v>427.16091343339173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-5.6843418860808015E-14</v>
      </c>
      <c r="CU67" s="18">
        <f>CT67*VLOOKUP('Données projet'!$B$13,Paramètres!$A$1:$I$89,3,0)*VLOOKUP('Données projet'!$B$13,Paramètres!$A$1:$I$89,5,0)</f>
        <v>-5.1431925385259088E-14</v>
      </c>
      <c r="CV67" s="14" t="e">
        <f t="shared" si="41"/>
        <v>#NUM!</v>
      </c>
      <c r="CW67" s="22" t="e">
        <f t="shared" si="13"/>
        <v>#NUM!</v>
      </c>
      <c r="CX67" s="62" t="e">
        <f t="shared" si="14"/>
        <v>#NUM!</v>
      </c>
      <c r="CY67" s="62">
        <f ca="1">AVERAGE(OFFSET($CX$3,0,0,'Données projet'!$E$13+1,1))-AVERAGE(OFFSET($H$3,0,0,'Données projet'!$E$13+1,1))</f>
        <v>350.06545824795847</v>
      </c>
      <c r="CZ67" s="62">
        <f t="shared" si="42"/>
        <v>513.80016421153414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8.8000000000000007</v>
      </c>
      <c r="DO67" s="13">
        <f>IF('Données projet'!$A$166&gt;35,DO66+DN67-DW66,IF(A67&lt;'Données projet'!$A$166,$DL$205^A67,IF(A67='Données projet'!$A$166,'Données projet'!$B$166,DO66+DN67-DW66)))</f>
        <v>280.2</v>
      </c>
      <c r="DP67" s="18">
        <f>DO67*VLOOKUP('Données projet'!$B$14,Paramètres!$A$1:$I$89,3,0)*VLOOKUP('Données projet'!$B$14,Paramètres!$A$1:$I$89,5,0)</f>
        <v>222.92711999999997</v>
      </c>
      <c r="DQ67" s="14">
        <f t="shared" si="43"/>
        <v>54.750590570780574</v>
      </c>
      <c r="DR67" s="22">
        <f t="shared" si="16"/>
        <v>483.62201257744277</v>
      </c>
      <c r="DS67" s="62">
        <f t="shared" si="17"/>
        <v>776.95534591077603</v>
      </c>
      <c r="DT67" s="62">
        <f ca="1">AVERAGE(OFFSET($DS$3,0,0,'Données projet'!$E$14+1,1))-AVERAGE(OFFSET($H$3,0,0,'Données projet'!$E$14+1,1))</f>
        <v>382.14353215900121</v>
      </c>
      <c r="DU67" s="62">
        <f t="shared" si="44"/>
        <v>249.73945975250177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7.831815832020603E-5</v>
      </c>
      <c r="ED67" s="24">
        <f t="shared" si="18"/>
        <v>7.831815832020603E-5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289</v>
      </c>
      <c r="L68" s="13">
        <f>VLOOKUP(A68,'Données projet'!$A$35:$I$55,9,0)</f>
        <v>8.8000000000000007</v>
      </c>
      <c r="M68" s="13">
        <f t="array" ref="M68">INDEX(L:L,MIN(IF(ISNUMBER(L68:L264),ROW(L68:L264),"")))</f>
        <v>8.8000000000000007</v>
      </c>
      <c r="N68" s="14">
        <f>IF('Données projet'!$A$36&gt;35,N67+M68-V67,IF(A68&lt;'Données projet'!$A$36,$K$205^A68,IF(A68='Données projet'!$A$36,'Données projet'!$B$36,N67+M68-V67)))</f>
        <v>289</v>
      </c>
      <c r="O68" s="14">
        <f>N68*VLOOKUP('Données projet'!$B$9,Paramètres!$A$1:$I$89,3,0)*VLOOKUP('Données projet'!$B$9,Paramètres!$A$1:$I$89,5,0)</f>
        <v>261.48719999999997</v>
      </c>
      <c r="P68" s="14">
        <f t="shared" si="33"/>
        <v>63.039283586802391</v>
      </c>
      <c r="Q68" s="22">
        <f t="shared" si="54"/>
        <v>565.21695891368086</v>
      </c>
      <c r="R68" s="62">
        <f t="shared" si="55"/>
        <v>858.55029224701411</v>
      </c>
      <c r="S68" s="62">
        <f ca="1">AVERAGE(OFFSET($R$3,0,0,'Données projet'!$E$9+1,1))-AVERAGE(OFFSET($H$3,0,0,'Données projet'!$E$9+1,1))</f>
        <v>429.08375622925655</v>
      </c>
      <c r="T68" s="62">
        <f t="shared" si="34"/>
        <v>278.21741231699929</v>
      </c>
      <c r="U68" s="16">
        <f>IF(ISNA(VLOOKUP(A68,'Données projet'!$A$35:$I$55,3,0)),0,VLOOKUP(A68,'Données projet'!$A$35:$I$55,3,0))</f>
        <v>10</v>
      </c>
      <c r="V68" s="16">
        <f>IF(ISNA(VLOOKUP(A68,'Données projet'!$A$35:$I$55,4,0)),0,VLOOKUP(A68,'Données projet'!$A$35:$I$55,4,0))</f>
        <v>28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6.2980381345471324E-5</v>
      </c>
      <c r="AC68" s="24">
        <f t="shared" ref="AC68:AC131" si="57">SUM(Z68:AB68)</f>
        <v>6.2980381345471324E-5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289</v>
      </c>
      <c r="AG68" s="13">
        <f>VLOOKUP(A68,'Données projet'!$A$61:$I$81,9,0)</f>
        <v>8.8000000000000007</v>
      </c>
      <c r="AH68" s="13">
        <f t="array" ref="AH68">INDEX(AG:AG,MIN(IF(ISNUMBER(AG68:AG264),ROW(AG68:AG264),"")))</f>
        <v>8.8000000000000007</v>
      </c>
      <c r="AI68" s="14">
        <f>IF('Données projet'!$A$62&gt;35,AI67+AH68-AQ67,IF(A68&lt;'Données projet'!$A$62,$AF$205^A68,IF(A68='Données projet'!$A$62,'Données projet'!$B$62,AI67+AH68-AQ67)))</f>
        <v>289</v>
      </c>
      <c r="AJ68" s="14">
        <f>AI68*VLOOKUP('Données projet'!$B$10,Paramètres!$A$1:$I$89,3,0)*VLOOKUP('Données projet'!$B$10,Paramètres!$A$1:$I$89,5,0)</f>
        <v>275.01240000000001</v>
      </c>
      <c r="AK68" s="14">
        <f t="shared" si="35"/>
        <v>65.911885597559035</v>
      </c>
      <c r="AL68" s="22">
        <f t="shared" ref="AL68:AL131" si="58">(AJ68+AK68)*0.475*44/12</f>
        <v>593.77646408241537</v>
      </c>
      <c r="AM68" s="62">
        <f t="shared" ref="AM68:AM131" si="59">AL68+(AD68+AE68)*44/12</f>
        <v>887.10979741574874</v>
      </c>
      <c r="AN68" s="62">
        <f ca="1">AVERAGE(OFFSET($AM$3,0,0,'Données projet'!$E$10+1,1))-AVERAGE(OFFSET($H$3,0,0,'Données projet'!$E$10+1,1))</f>
        <v>449.16408464351673</v>
      </c>
      <c r="AO68" s="62">
        <f t="shared" si="36"/>
        <v>290.39826583283588</v>
      </c>
      <c r="AP68" s="16">
        <f>IF(ISNA(VLOOKUP(A68,'Données projet'!$A$61:$I$81,3,0)),0,VLOOKUP(A68,'Données projet'!$A$61:$I$81,3,0))</f>
        <v>10</v>
      </c>
      <c r="AQ68" s="16">
        <f>IF(ISNA(VLOOKUP(A68,'Données projet'!$A$61:$I$81,4,0)),0,VLOOKUP(A68,'Données projet'!$A$61:$I$81,4,0))</f>
        <v>28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6.6237987277133672E-5</v>
      </c>
      <c r="AX68" s="23">
        <f t="shared" ref="AX68:AX131" si="60">SUM(AU68:AW68)</f>
        <v>6.6237987277133672E-5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289</v>
      </c>
      <c r="BB68" s="13">
        <f>VLOOKUP(A68,'Données projet'!$A$87:$I$107,9,0)</f>
        <v>8.8000000000000007</v>
      </c>
      <c r="BC68" s="13">
        <f t="array" ref="BC68">INDEX(BB:BB,MIN(IF(ISNUMBER(BB68:BB264),ROW(BB68:BB264),"")))</f>
        <v>8.8000000000000007</v>
      </c>
      <c r="BD68" s="13">
        <f>IF('Données projet'!$A$88&gt;35,BD67+BC68-BL67,IF(A68&lt;'Données projet'!$A$88,$BA$205^A68,IF(A68='Données projet'!$A$88,'Données projet'!$B$88,BD67+BC68-BL67)))</f>
        <v>289</v>
      </c>
      <c r="BE68" s="14">
        <f>BD68*VLOOKUP('Données projet'!$B$11,Paramètres!$A$1:$I$89,3,0)*VLOOKUP('Données projet'!$B$11,Paramètres!$A$1:$I$89,5,0)</f>
        <v>279.52080000000001</v>
      </c>
      <c r="BF68" s="14">
        <f t="shared" si="37"/>
        <v>66.865730052421583</v>
      </c>
      <c r="BG68" s="22">
        <f t="shared" ref="BG68:BG131" si="61">(BE68+BF68)*0.475*44/12</f>
        <v>603.28987317463418</v>
      </c>
      <c r="BH68" s="62">
        <f t="shared" ref="BH68:BH131" si="62">BG68+(AY68+AZ68)*44/12</f>
        <v>896.62320650796755</v>
      </c>
      <c r="BI68" s="62">
        <f ca="1">AVERAGE(OFFSET($BH$3,0,0,'Données projet'!$E$11+1,1))-AVERAGE(OFFSET($H$3,0,0,'Données projet'!$E$11+1,1))</f>
        <v>455.85294519779609</v>
      </c>
      <c r="BJ68" s="62">
        <f t="shared" si="38"/>
        <v>294.45557293177131</v>
      </c>
      <c r="BK68" s="16">
        <f>IF(ISNA(VLOOKUP(A68,'Données projet'!$A$87:$I$107,3,0)),0,VLOOKUP(A68,'Données projet'!$A$87:$I$107,3,0))</f>
        <v>10</v>
      </c>
      <c r="BL68" s="16">
        <f>IF(ISNA(VLOOKUP(A68,'Données projet'!$A$87:$I$107,4,0)),0,VLOOKUP(A68,'Données projet'!$A$87:$I$107,4,0))</f>
        <v>28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6.732385592102109E-5</v>
      </c>
      <c r="BS68" s="24">
        <f t="shared" ref="BS68:BS131" si="63">SUM(BP68:BR68)</f>
        <v>6.732385592102109E-5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5.6843418860808015E-14</v>
      </c>
      <c r="BZ68" s="14">
        <f>BY68*VLOOKUP('Données projet'!$B$12,Paramètres!$A$1:$I$89,3,0)*VLOOKUP('Données projet'!$B$12,Paramètres!$A$1:$I$89,5,0)</f>
        <v>4.9658410716801891E-14</v>
      </c>
      <c r="CA68" s="14">
        <f t="shared" si="39"/>
        <v>8.0934058173791862E-13</v>
      </c>
      <c r="CB68" s="22">
        <f t="shared" ref="CB68:CB131" si="64">(BZ68+CA68)*0.475*44/12</f>
        <v>1.4960899118586383E-12</v>
      </c>
      <c r="CC68" s="62">
        <f t="shared" ref="CC68:CC131" si="65">CB68+(BT68+BU68)*44/12</f>
        <v>293.33333333333479</v>
      </c>
      <c r="CD68" s="62">
        <f ca="1">AVERAGE(OFFSET($CC$3,0,0,'Données projet'!$E$12+1,1))-AVERAGE(OFFSET($H$3,0,0,'Données projet'!$E$12+1,1))</f>
        <v>304.32767345253382</v>
      </c>
      <c r="CE68" s="62">
        <f t="shared" si="40"/>
        <v>427.16091343339173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-5.6843418860808015E-14</v>
      </c>
      <c r="CU68" s="18">
        <f>CT68*VLOOKUP('Données projet'!$B$13,Paramètres!$A$1:$I$89,3,0)*VLOOKUP('Données projet'!$B$13,Paramètres!$A$1:$I$89,5,0)</f>
        <v>-5.1431925385259088E-14</v>
      </c>
      <c r="CV68" s="14" t="e">
        <f t="shared" si="41"/>
        <v>#NUM!</v>
      </c>
      <c r="CW68" s="22" t="e">
        <f t="shared" ref="CW68:CW131" si="67">(CU68+CV68)*0.475*44/12</f>
        <v>#NUM!</v>
      </c>
      <c r="CX68" s="62" t="e">
        <f t="shared" ref="CX68:CX131" si="68">CW68+(CO68+CP68)*44/12</f>
        <v>#NUM!</v>
      </c>
      <c r="CY68" s="62">
        <f ca="1">AVERAGE(OFFSET($CX$3,0,0,'Données projet'!$E$13+1,1))-AVERAGE(OFFSET($H$3,0,0,'Données projet'!$E$13+1,1))</f>
        <v>350.06545824795847</v>
      </c>
      <c r="CZ68" s="62">
        <f t="shared" si="42"/>
        <v>513.80016421153414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289</v>
      </c>
      <c r="DM68" s="13">
        <f>VLOOKUP(A68,'Données projet'!$A$165:$I$185,9,0)</f>
        <v>8.8000000000000007</v>
      </c>
      <c r="DN68" s="13">
        <f t="array" ref="DN68">INDEX(DM:DM,MIN(IF(ISNUMBER(DM68:DM264),ROW(DM68:DM264),"")))</f>
        <v>8.8000000000000007</v>
      </c>
      <c r="DO68" s="13">
        <f>IF('Données projet'!$A$166&gt;35,DO67+DN68-DW67,IF(A68&lt;'Données projet'!$A$166,$DL$205^A68,IF(A68='Données projet'!$A$166,'Données projet'!$B$166,DO67+DN68-DW67)))</f>
        <v>289</v>
      </c>
      <c r="DP68" s="18">
        <f>DO68*VLOOKUP('Données projet'!$B$14,Paramètres!$A$1:$I$89,3,0)*VLOOKUP('Données projet'!$B$14,Paramètres!$A$1:$I$89,5,0)</f>
        <v>229.92840000000004</v>
      </c>
      <c r="DQ68" s="14">
        <f t="shared" si="43"/>
        <v>56.267199656606046</v>
      </c>
      <c r="DR68" s="22">
        <f t="shared" ref="DR68:DR131" si="70">(DP68+DQ68)*0.475*44/12</f>
        <v>498.45733606858886</v>
      </c>
      <c r="DS68" s="62">
        <f t="shared" ref="DS68:DS131" si="71">DR68+(DJ68+DK68)*44/12</f>
        <v>791.79066940192217</v>
      </c>
      <c r="DT68" s="62">
        <f ca="1">AVERAGE(OFFSET($DS$3,0,0,'Données projet'!$E$14+1,1))-AVERAGE(OFFSET($H$3,0,0,'Données projet'!$E$14+1,1))</f>
        <v>382.14353215900121</v>
      </c>
      <c r="DU68" s="62">
        <f t="shared" si="44"/>
        <v>249.73945975250177</v>
      </c>
      <c r="DV68" s="16">
        <f>IF(ISNA(VLOOKUP(A68,'Données projet'!$A$165:$I$185,3,0)),0,VLOOKUP(A68,'Données projet'!$A$165:$I$185,3,0))</f>
        <v>10</v>
      </c>
      <c r="DW68" s="16">
        <f>IF(ISNA(VLOOKUP(A68,'Données projet'!$A$165:$I$185,4,0)),0,VLOOKUP(A68,'Données projet'!$A$165:$I$185,4,0))</f>
        <v>28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5.5379300838259312E-5</v>
      </c>
      <c r="ED68" s="24">
        <f t="shared" ref="ED68:ED131" si="72">SUM(EA68:EC68)</f>
        <v>5.5379300838259312E-5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8.1999999999999993</v>
      </c>
      <c r="N69" s="14">
        <f>IF('Données projet'!$A$36&gt;35,N68+M69-V68,IF(A69&lt;'Données projet'!$A$36,$K$205^A69,IF(A69='Données projet'!$A$36,'Données projet'!$B$36,N68+M69-V68)))</f>
        <v>269.2</v>
      </c>
      <c r="O69" s="14">
        <f>N69*VLOOKUP('Données projet'!$B$9,Paramètres!$A$1:$I$89,3,0)*VLOOKUP('Données projet'!$B$9,Paramètres!$A$1:$I$89,5,0)</f>
        <v>243.57216</v>
      </c>
      <c r="P69" s="14">
        <f t="shared" ref="P69:P132" si="87">EXP(-1.0587+0.8836*LN(O69)+0.284)</f>
        <v>59.207435995642292</v>
      </c>
      <c r="Q69" s="22">
        <f t="shared" si="54"/>
        <v>527.34112969241028</v>
      </c>
      <c r="R69" s="62">
        <f t="shared" si="55"/>
        <v>820.67446302574353</v>
      </c>
      <c r="S69" s="62">
        <f ca="1">AVERAGE(OFFSET($R$3,0,0,'Données projet'!$E$9+1,1))-AVERAGE(OFFSET($H$3,0,0,'Données projet'!$E$9+1,1))</f>
        <v>429.08375622925655</v>
      </c>
      <c r="T69" s="62">
        <f t="shared" ref="T69:T132" si="88">$T$3</f>
        <v>278.21741231699929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4.4533854731097513E-5</v>
      </c>
      <c r="AC69" s="24">
        <f t="shared" si="57"/>
        <v>4.4533854731097513E-5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8.1999999999999993</v>
      </c>
      <c r="AI69" s="14">
        <f>IF('Données projet'!$A$62&gt;35,AI68+AH69-AQ68,IF(A69&lt;'Données projet'!$A$62,$AF$205^A69,IF(A69='Données projet'!$A$62,'Données projet'!$B$62,AI68+AH69-AQ68)))</f>
        <v>269.2</v>
      </c>
      <c r="AJ69" s="14">
        <f>AI69*VLOOKUP('Données projet'!$B$10,Paramètres!$A$1:$I$89,3,0)*VLOOKUP('Données projet'!$B$10,Paramètres!$A$1:$I$89,5,0)</f>
        <v>256.17072000000002</v>
      </c>
      <c r="AK69" s="14">
        <f t="shared" ref="AK69:AK132" si="89">EXP(-1.0587+0.8836*LN(AJ69)+0.284)</f>
        <v>61.905426677256543</v>
      </c>
      <c r="AL69" s="22">
        <f t="shared" si="58"/>
        <v>553.98262212955512</v>
      </c>
      <c r="AM69" s="62">
        <f t="shared" si="59"/>
        <v>847.3159554628885</v>
      </c>
      <c r="AN69" s="62">
        <f ca="1">AVERAGE(OFFSET($AM$3,0,0,'Données projet'!$E$10+1,1))-AVERAGE(OFFSET($H$3,0,0,'Données projet'!$E$10+1,1))</f>
        <v>449.16408464351673</v>
      </c>
      <c r="AO69" s="62">
        <f t="shared" ref="AO69:AO132" si="90">$AO$3</f>
        <v>290.39826583283588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4.6837329975809479E-5</v>
      </c>
      <c r="AX69" s="23">
        <f t="shared" si="60"/>
        <v>4.6837329975809479E-5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8.1999999999999993</v>
      </c>
      <c r="BD69" s="13">
        <f>IF('Données projet'!$A$88&gt;35,BD68+BC69-BL68,IF(A69&lt;'Données projet'!$A$88,$BA$205^A69,IF(A69='Données projet'!$A$88,'Données projet'!$B$88,BD68+BC69-BL68)))</f>
        <v>269.2</v>
      </c>
      <c r="BE69" s="14">
        <f>BD69*VLOOKUP('Données projet'!$B$11,Paramètres!$A$1:$I$89,3,0)*VLOOKUP('Données projet'!$B$11,Paramètres!$A$1:$I$89,5,0)</f>
        <v>260.37024000000002</v>
      </c>
      <c r="BF69" s="14">
        <f t="shared" ref="BF69:BF132" si="91">EXP(-1.0587+0.8836*LN(BE69)+0.284)</f>
        <v>62.801291625234725</v>
      </c>
      <c r="BG69" s="22">
        <f t="shared" si="61"/>
        <v>562.85708424728386</v>
      </c>
      <c r="BH69" s="62">
        <f t="shared" si="62"/>
        <v>856.19041758061712</v>
      </c>
      <c r="BI69" s="62">
        <f ca="1">AVERAGE(OFFSET($BH$3,0,0,'Données projet'!$E$11+1,1))-AVERAGE(OFFSET($H$3,0,0,'Données projet'!$E$11+1,1))</f>
        <v>455.85294519779609</v>
      </c>
      <c r="BJ69" s="62">
        <f t="shared" ref="BJ69:BJ132" si="92">$BJ$3</f>
        <v>294.45557293177131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4.7605155057380112E-5</v>
      </c>
      <c r="BS69" s="24">
        <f t="shared" si="63"/>
        <v>4.7605155057380112E-5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5.6843418860808015E-14</v>
      </c>
      <c r="BZ69" s="14">
        <f>BY69*VLOOKUP('Données projet'!$B$12,Paramètres!$A$1:$I$89,3,0)*VLOOKUP('Données projet'!$B$12,Paramètres!$A$1:$I$89,5,0)</f>
        <v>4.9658410716801891E-14</v>
      </c>
      <c r="CA69" s="14">
        <f t="shared" ref="CA69:CA132" si="93">EXP(-1.0587+0.8836*LN(BZ69)+0.284)</f>
        <v>8.0934058173791862E-13</v>
      </c>
      <c r="CB69" s="22">
        <f t="shared" si="64"/>
        <v>1.4960899118586383E-12</v>
      </c>
      <c r="CC69" s="62">
        <f t="shared" si="65"/>
        <v>293.33333333333479</v>
      </c>
      <c r="CD69" s="62">
        <f ca="1">AVERAGE(OFFSET($CC$3,0,0,'Données projet'!$E$12+1,1))-AVERAGE(OFFSET($H$3,0,0,'Données projet'!$E$12+1,1))</f>
        <v>304.32767345253382</v>
      </c>
      <c r="CE69" s="62">
        <f t="shared" ref="CE69:CE132" si="94">$CE$3</f>
        <v>427.16091343339173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-5.6843418860808015E-14</v>
      </c>
      <c r="CU69" s="18">
        <f>CT69*VLOOKUP('Données projet'!$B$13,Paramètres!$A$1:$I$89,3,0)*VLOOKUP('Données projet'!$B$13,Paramètres!$A$1:$I$89,5,0)</f>
        <v>-5.1431925385259088E-14</v>
      </c>
      <c r="CV69" s="14" t="e">
        <f t="shared" ref="CV69:CV132" si="95">EXP(-1.0587+0.8836*LN(CU69)+0.284)</f>
        <v>#NUM!</v>
      </c>
      <c r="CW69" s="22" t="e">
        <f t="shared" si="67"/>
        <v>#NUM!</v>
      </c>
      <c r="CX69" s="62" t="e">
        <f t="shared" si="68"/>
        <v>#NUM!</v>
      </c>
      <c r="CY69" s="62">
        <f ca="1">AVERAGE(OFFSET($CX$3,0,0,'Données projet'!$E$13+1,1))-AVERAGE(OFFSET($H$3,0,0,'Données projet'!$E$13+1,1))</f>
        <v>350.06545824795847</v>
      </c>
      <c r="CZ69" s="62">
        <f t="shared" ref="CZ69:CZ132" si="96">$CZ$3</f>
        <v>513.80016421153414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8.1999999999999993</v>
      </c>
      <c r="DO69" s="13">
        <f>IF('Données projet'!$A$166&gt;35,DO68+DN69-DW68,IF(A69&lt;'Données projet'!$A$166,$DL$205^A69,IF(A69='Données projet'!$A$166,'Données projet'!$B$166,DO68+DN69-DW68)))</f>
        <v>269.2</v>
      </c>
      <c r="DP69" s="18">
        <f>DO69*VLOOKUP('Données projet'!$B$14,Paramètres!$A$1:$I$89,3,0)*VLOOKUP('Données projet'!$B$14,Paramètres!$A$1:$I$89,5,0)</f>
        <v>214.17552000000001</v>
      </c>
      <c r="DQ69" s="14">
        <f t="shared" ref="DQ69:DQ132" si="97">EXP(-1.0587+0.8836*LN(DP69)+0.284)</f>
        <v>52.846993696165441</v>
      </c>
      <c r="DR69" s="22">
        <f t="shared" si="70"/>
        <v>465.06421135415479</v>
      </c>
      <c r="DS69" s="62">
        <f t="shared" si="71"/>
        <v>758.39754468748811</v>
      </c>
      <c r="DT69" s="62">
        <f ca="1">AVERAGE(OFFSET($DS$3,0,0,'Données projet'!$E$14+1,1))-AVERAGE(OFFSET($H$3,0,0,'Données projet'!$E$14+1,1))</f>
        <v>382.14353215900121</v>
      </c>
      <c r="DU69" s="62">
        <f t="shared" ref="DU69:DU132" si="98">$DU$3</f>
        <v>249.73945975250177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3.9159079160103015E-5</v>
      </c>
      <c r="ED69" s="24">
        <f t="shared" si="72"/>
        <v>3.9159079160103015E-5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8.1999999999999993</v>
      </c>
      <c r="N70" s="14">
        <f>IF('Données projet'!$A$36&gt;35,N69+M70-V69,IF(A70&lt;'Données projet'!$A$36,$K$205^A70,IF(A70='Données projet'!$A$36,'Données projet'!$B$36,N69+M70-V69)))</f>
        <v>277.39999999999998</v>
      </c>
      <c r="O70" s="14">
        <f>N70*VLOOKUP('Données projet'!$B$9,Paramètres!$A$1:$I$89,3,0)*VLOOKUP('Données projet'!$B$9,Paramètres!$A$1:$I$89,5,0)</f>
        <v>250.99151999999995</v>
      </c>
      <c r="P70" s="14">
        <f t="shared" si="87"/>
        <v>60.798211000769406</v>
      </c>
      <c r="Q70" s="22">
        <f t="shared" si="54"/>
        <v>543.03378149300659</v>
      </c>
      <c r="R70" s="62">
        <f t="shared" si="55"/>
        <v>836.36711482633996</v>
      </c>
      <c r="S70" s="62">
        <f ca="1">AVERAGE(OFFSET($R$3,0,0,'Données projet'!$E$9+1,1))-AVERAGE(OFFSET($H$3,0,0,'Données projet'!$E$9+1,1))</f>
        <v>429.08375622925655</v>
      </c>
      <c r="T70" s="62">
        <f t="shared" si="88"/>
        <v>278.21741231699929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3.1490190672735662E-5</v>
      </c>
      <c r="AC70" s="24">
        <f t="shared" si="57"/>
        <v>3.1490190672735662E-5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8.1999999999999993</v>
      </c>
      <c r="AI70" s="14">
        <f>IF('Données projet'!$A$62&gt;35,AI69+AH70-AQ69,IF(A70&lt;'Données projet'!$A$62,$AF$205^A70,IF(A70='Données projet'!$A$62,'Données projet'!$B$62,AI69+AH70-AQ69)))</f>
        <v>277.39999999999998</v>
      </c>
      <c r="AJ70" s="14">
        <f>AI70*VLOOKUP('Données projet'!$B$10,Paramètres!$A$1:$I$89,3,0)*VLOOKUP('Données projet'!$B$10,Paramètres!$A$1:$I$89,5,0)</f>
        <v>263.97383999999994</v>
      </c>
      <c r="AK70" s="14">
        <f t="shared" si="89"/>
        <v>63.56869082277958</v>
      </c>
      <c r="AL70" s="22">
        <f t="shared" si="58"/>
        <v>570.46990784967431</v>
      </c>
      <c r="AM70" s="62">
        <f t="shared" si="59"/>
        <v>863.80324118300769</v>
      </c>
      <c r="AN70" s="62">
        <f ca="1">AVERAGE(OFFSET($AM$3,0,0,'Données projet'!$E$10+1,1))-AVERAGE(OFFSET($H$3,0,0,'Données projet'!$E$10+1,1))</f>
        <v>449.16408464351673</v>
      </c>
      <c r="AO70" s="62">
        <f t="shared" si="90"/>
        <v>290.39826583283588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3.3118993638566836E-5</v>
      </c>
      <c r="AX70" s="23">
        <f t="shared" si="60"/>
        <v>3.3118993638566836E-5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8.1999999999999993</v>
      </c>
      <c r="BD70" s="13">
        <f>IF('Données projet'!$A$88&gt;35,BD69+BC70-BL69,IF(A70&lt;'Données projet'!$A$88,$BA$205^A70,IF(A70='Données projet'!$A$88,'Données projet'!$B$88,BD69+BC70-BL69)))</f>
        <v>277.39999999999998</v>
      </c>
      <c r="BE70" s="14">
        <f>BD70*VLOOKUP('Données projet'!$B$11,Paramètres!$A$1:$I$89,3,0)*VLOOKUP('Données projet'!$B$11,Paramètres!$A$1:$I$89,5,0)</f>
        <v>268.30127999999996</v>
      </c>
      <c r="BF70" s="14">
        <f t="shared" si="91"/>
        <v>64.488625713042012</v>
      </c>
      <c r="BG70" s="22">
        <f t="shared" si="61"/>
        <v>579.60908578354815</v>
      </c>
      <c r="BH70" s="62">
        <f t="shared" si="62"/>
        <v>872.94241911688141</v>
      </c>
      <c r="BI70" s="62">
        <f ca="1">AVERAGE(OFFSET($BH$3,0,0,'Données projet'!$E$11+1,1))-AVERAGE(OFFSET($H$3,0,0,'Données projet'!$E$11+1,1))</f>
        <v>455.85294519779609</v>
      </c>
      <c r="BJ70" s="62">
        <f t="shared" si="92"/>
        <v>294.45557293177131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3.3661927960510545E-5</v>
      </c>
      <c r="BS70" s="24">
        <f t="shared" si="63"/>
        <v>3.3661927960510545E-5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5.6843418860808015E-14</v>
      </c>
      <c r="BZ70" s="14">
        <f>BY70*VLOOKUP('Données projet'!$B$12,Paramètres!$A$1:$I$89,3,0)*VLOOKUP('Données projet'!$B$12,Paramètres!$A$1:$I$89,5,0)</f>
        <v>4.9658410716801891E-14</v>
      </c>
      <c r="CA70" s="14">
        <f t="shared" si="93"/>
        <v>8.0934058173791862E-13</v>
      </c>
      <c r="CB70" s="22">
        <f t="shared" si="64"/>
        <v>1.4960899118586383E-12</v>
      </c>
      <c r="CC70" s="62">
        <f t="shared" si="65"/>
        <v>293.33333333333479</v>
      </c>
      <c r="CD70" s="62">
        <f ca="1">AVERAGE(OFFSET($CC$3,0,0,'Données projet'!$E$12+1,1))-AVERAGE(OFFSET($H$3,0,0,'Données projet'!$E$12+1,1))</f>
        <v>304.32767345253382</v>
      </c>
      <c r="CE70" s="62">
        <f t="shared" si="94"/>
        <v>427.16091343339173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-5.6843418860808015E-14</v>
      </c>
      <c r="CU70" s="18">
        <f>CT70*VLOOKUP('Données projet'!$B$13,Paramètres!$A$1:$I$89,3,0)*VLOOKUP('Données projet'!$B$13,Paramètres!$A$1:$I$89,5,0)</f>
        <v>-5.1431925385259088E-14</v>
      </c>
      <c r="CV70" s="14" t="e">
        <f t="shared" si="95"/>
        <v>#NUM!</v>
      </c>
      <c r="CW70" s="22" t="e">
        <f t="shared" si="67"/>
        <v>#NUM!</v>
      </c>
      <c r="CX70" s="62" t="e">
        <f t="shared" si="68"/>
        <v>#NUM!</v>
      </c>
      <c r="CY70" s="62">
        <f ca="1">AVERAGE(OFFSET($CX$3,0,0,'Données projet'!$E$13+1,1))-AVERAGE(OFFSET($H$3,0,0,'Données projet'!$E$13+1,1))</f>
        <v>350.06545824795847</v>
      </c>
      <c r="CZ70" s="62">
        <f t="shared" si="96"/>
        <v>513.80016421153414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8.1999999999999993</v>
      </c>
      <c r="DO70" s="13">
        <f>IF('Données projet'!$A$166&gt;35,DO69+DN70-DW69,IF(A70&lt;'Données projet'!$A$166,$DL$205^A70,IF(A70='Données projet'!$A$166,'Données projet'!$B$166,DO69+DN70-DW69)))</f>
        <v>277.39999999999998</v>
      </c>
      <c r="DP70" s="18">
        <f>DO70*VLOOKUP('Données projet'!$B$14,Paramètres!$A$1:$I$89,3,0)*VLOOKUP('Données projet'!$B$14,Paramètres!$A$1:$I$89,5,0)</f>
        <v>220.69943999999998</v>
      </c>
      <c r="DQ70" s="14">
        <f t="shared" si="97"/>
        <v>54.266877453235324</v>
      </c>
      <c r="DR70" s="22">
        <f t="shared" si="70"/>
        <v>478.89966956438479</v>
      </c>
      <c r="DS70" s="62">
        <f t="shared" si="71"/>
        <v>772.23300289771805</v>
      </c>
      <c r="DT70" s="62">
        <f ca="1">AVERAGE(OFFSET($DS$3,0,0,'Données projet'!$E$14+1,1))-AVERAGE(OFFSET($H$3,0,0,'Données projet'!$E$14+1,1))</f>
        <v>382.14353215900121</v>
      </c>
      <c r="DU70" s="62">
        <f t="shared" si="98"/>
        <v>249.73945975250177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2.7689650419129656E-5</v>
      </c>
      <c r="ED70" s="24">
        <f t="shared" si="72"/>
        <v>2.7689650419129656E-5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8.1999999999999993</v>
      </c>
      <c r="N71" s="14">
        <f>IF('Données projet'!$A$36&gt;35,N70+M71-V70,IF(A71&lt;'Données projet'!$A$36,$K$205^A71,IF(A71='Données projet'!$A$36,'Données projet'!$B$36,N70+M71-V70)))</f>
        <v>285.59999999999997</v>
      </c>
      <c r="O71" s="14">
        <f>N71*VLOOKUP('Données projet'!$B$9,Paramètres!$A$1:$I$89,3,0)*VLOOKUP('Données projet'!$B$9,Paramètres!$A$1:$I$89,5,0)</f>
        <v>258.41087999999996</v>
      </c>
      <c r="P71" s="14">
        <f t="shared" si="87"/>
        <v>62.383521020316756</v>
      </c>
      <c r="Q71" s="22">
        <f t="shared" si="54"/>
        <v>558.71691511038489</v>
      </c>
      <c r="R71" s="62">
        <f t="shared" si="55"/>
        <v>852.05024844371815</v>
      </c>
      <c r="S71" s="62">
        <f ca="1">AVERAGE(OFFSET($R$3,0,0,'Données projet'!$E$9+1,1))-AVERAGE(OFFSET($H$3,0,0,'Données projet'!$E$9+1,1))</f>
        <v>429.08375622925655</v>
      </c>
      <c r="T71" s="62">
        <f t="shared" si="88"/>
        <v>278.21741231699929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2.2266927365548756E-5</v>
      </c>
      <c r="AC71" s="24">
        <f t="shared" si="57"/>
        <v>2.2266927365548756E-5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8.1999999999999993</v>
      </c>
      <c r="AI71" s="14">
        <f>IF('Données projet'!$A$62&gt;35,AI70+AH71-AQ70,IF(A71&lt;'Données projet'!$A$62,$AF$205^A71,IF(A71='Données projet'!$A$62,'Données projet'!$B$62,AI70+AH71-AQ70)))</f>
        <v>285.59999999999997</v>
      </c>
      <c r="AJ71" s="14">
        <f>AI71*VLOOKUP('Données projet'!$B$10,Paramètres!$A$1:$I$89,3,0)*VLOOKUP('Données projet'!$B$10,Paramètres!$A$1:$I$89,5,0)</f>
        <v>271.77695999999997</v>
      </c>
      <c r="AK71" s="14">
        <f t="shared" si="89"/>
        <v>65.226240951838292</v>
      </c>
      <c r="AL71" s="22">
        <f t="shared" si="58"/>
        <v>586.94724165778496</v>
      </c>
      <c r="AM71" s="62">
        <f t="shared" si="59"/>
        <v>880.28057499111833</v>
      </c>
      <c r="AN71" s="62">
        <f ca="1">AVERAGE(OFFSET($AM$3,0,0,'Données projet'!$E$10+1,1))-AVERAGE(OFFSET($H$3,0,0,'Données projet'!$E$10+1,1))</f>
        <v>449.16408464351673</v>
      </c>
      <c r="AO71" s="62">
        <f t="shared" si="90"/>
        <v>290.39826583283588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2.341866498790474E-5</v>
      </c>
      <c r="AX71" s="23">
        <f t="shared" si="60"/>
        <v>2.341866498790474E-5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8.1999999999999993</v>
      </c>
      <c r="BD71" s="13">
        <f>IF('Données projet'!$A$88&gt;35,BD70+BC71-BL70,IF(A71&lt;'Données projet'!$A$88,$BA$205^A71,IF(A71='Données projet'!$A$88,'Données projet'!$B$88,BD70+BC71-BL70)))</f>
        <v>285.59999999999997</v>
      </c>
      <c r="BE71" s="14">
        <f>BD71*VLOOKUP('Données projet'!$B$11,Paramètres!$A$1:$I$89,3,0)*VLOOKUP('Données projet'!$B$11,Paramètres!$A$1:$I$89,5,0)</f>
        <v>276.23231999999996</v>
      </c>
      <c r="BF71" s="14">
        <f t="shared" si="91"/>
        <v>66.170163093943458</v>
      </c>
      <c r="BG71" s="22">
        <f t="shared" si="61"/>
        <v>596.35099138861813</v>
      </c>
      <c r="BH71" s="62">
        <f t="shared" si="62"/>
        <v>889.6843247219515</v>
      </c>
      <c r="BI71" s="62">
        <f ca="1">AVERAGE(OFFSET($BH$3,0,0,'Données projet'!$E$11+1,1))-AVERAGE(OFFSET($H$3,0,0,'Données projet'!$E$11+1,1))</f>
        <v>455.85294519779609</v>
      </c>
      <c r="BJ71" s="62">
        <f t="shared" si="92"/>
        <v>294.45557293177131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2.3802577528690056E-5</v>
      </c>
      <c r="BS71" s="24">
        <f t="shared" si="63"/>
        <v>2.3802577528690056E-5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5.6843418860808015E-14</v>
      </c>
      <c r="BZ71" s="14">
        <f>BY71*VLOOKUP('Données projet'!$B$12,Paramètres!$A$1:$I$89,3,0)*VLOOKUP('Données projet'!$B$12,Paramètres!$A$1:$I$89,5,0)</f>
        <v>4.9658410716801891E-14</v>
      </c>
      <c r="CA71" s="14">
        <f t="shared" si="93"/>
        <v>8.0934058173791862E-13</v>
      </c>
      <c r="CB71" s="22">
        <f t="shared" si="64"/>
        <v>1.4960899118586383E-12</v>
      </c>
      <c r="CC71" s="62">
        <f t="shared" si="65"/>
        <v>293.33333333333479</v>
      </c>
      <c r="CD71" s="62">
        <f ca="1">AVERAGE(OFFSET($CC$3,0,0,'Données projet'!$E$12+1,1))-AVERAGE(OFFSET($H$3,0,0,'Données projet'!$E$12+1,1))</f>
        <v>304.32767345253382</v>
      </c>
      <c r="CE71" s="62">
        <f t="shared" si="94"/>
        <v>427.16091343339173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-5.6843418860808015E-14</v>
      </c>
      <c r="CU71" s="18">
        <f>CT71*VLOOKUP('Données projet'!$B$13,Paramètres!$A$1:$I$89,3,0)*VLOOKUP('Données projet'!$B$13,Paramètres!$A$1:$I$89,5,0)</f>
        <v>-5.1431925385259088E-14</v>
      </c>
      <c r="CV71" s="14" t="e">
        <f t="shared" si="95"/>
        <v>#NUM!</v>
      </c>
      <c r="CW71" s="22" t="e">
        <f t="shared" si="67"/>
        <v>#NUM!</v>
      </c>
      <c r="CX71" s="62" t="e">
        <f t="shared" si="68"/>
        <v>#NUM!</v>
      </c>
      <c r="CY71" s="62">
        <f ca="1">AVERAGE(OFFSET($CX$3,0,0,'Données projet'!$E$13+1,1))-AVERAGE(OFFSET($H$3,0,0,'Données projet'!$E$13+1,1))</f>
        <v>350.06545824795847</v>
      </c>
      <c r="CZ71" s="62">
        <f t="shared" si="96"/>
        <v>513.80016421153414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8.1999999999999993</v>
      </c>
      <c r="DO71" s="13">
        <f>IF('Données projet'!$A$166&gt;35,DO70+DN71-DW70,IF(A71&lt;'Données projet'!$A$166,$DL$205^A71,IF(A71='Données projet'!$A$166,'Données projet'!$B$166,DO70+DN71-DW70)))</f>
        <v>285.59999999999997</v>
      </c>
      <c r="DP71" s="18">
        <f>DO71*VLOOKUP('Données projet'!$B$14,Paramètres!$A$1:$I$89,3,0)*VLOOKUP('Données projet'!$B$14,Paramètres!$A$1:$I$89,5,0)</f>
        <v>227.22335999999999</v>
      </c>
      <c r="DQ71" s="14">
        <f t="shared" si="97"/>
        <v>55.681883308507551</v>
      </c>
      <c r="DR71" s="22">
        <f t="shared" si="70"/>
        <v>492.72663209565059</v>
      </c>
      <c r="DS71" s="62">
        <f t="shared" si="71"/>
        <v>786.0599654289839</v>
      </c>
      <c r="DT71" s="62">
        <f ca="1">AVERAGE(OFFSET($DS$3,0,0,'Données projet'!$E$14+1,1))-AVERAGE(OFFSET($H$3,0,0,'Données projet'!$E$14+1,1))</f>
        <v>382.14353215900121</v>
      </c>
      <c r="DU71" s="62">
        <f t="shared" si="98"/>
        <v>249.73945975250177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1.9579539580051508E-5</v>
      </c>
      <c r="ED71" s="24">
        <f t="shared" si="72"/>
        <v>1.9579539580051508E-5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8.1999999999999993</v>
      </c>
      <c r="N72" s="14">
        <f>IF('Données projet'!$A$36&gt;35,N71+M72-V71,IF(A72&lt;'Données projet'!$A$36,$K$205^A72,IF(A72='Données projet'!$A$36,'Données projet'!$B$36,N71+M72-V71)))</f>
        <v>293.79999999999995</v>
      </c>
      <c r="O72" s="14">
        <f>N72*VLOOKUP('Données projet'!$B$9,Paramètres!$A$1:$I$89,3,0)*VLOOKUP('Données projet'!$B$9,Paramètres!$A$1:$I$89,5,0)</f>
        <v>265.83023999999995</v>
      </c>
      <c r="P72" s="14">
        <f t="shared" si="87"/>
        <v>63.963540982526439</v>
      </c>
      <c r="Q72" s="22">
        <f t="shared" si="54"/>
        <v>574.39083521123348</v>
      </c>
      <c r="R72" s="62">
        <f t="shared" si="55"/>
        <v>867.72416854456674</v>
      </c>
      <c r="S72" s="62">
        <f ca="1">AVERAGE(OFFSET($R$3,0,0,'Données projet'!$E$9+1,1))-AVERAGE(OFFSET($H$3,0,0,'Données projet'!$E$9+1,1))</f>
        <v>429.08375622925655</v>
      </c>
      <c r="T72" s="62">
        <f t="shared" si="88"/>
        <v>278.21741231699929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1.5745095336367831E-5</v>
      </c>
      <c r="AC72" s="24">
        <f t="shared" si="57"/>
        <v>1.5745095336367831E-5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8.1999999999999993</v>
      </c>
      <c r="AI72" s="14">
        <f>IF('Données projet'!$A$62&gt;35,AI71+AH72-AQ71,IF(A72&lt;'Données projet'!$A$62,$AF$205^A72,IF(A72='Données projet'!$A$62,'Données projet'!$B$62,AI71+AH72-AQ71)))</f>
        <v>293.79999999999995</v>
      </c>
      <c r="AJ72" s="14">
        <f>AI72*VLOOKUP('Données projet'!$B$10,Paramètres!$A$1:$I$89,3,0)*VLOOKUP('Données projet'!$B$10,Paramètres!$A$1:$I$89,5,0)</f>
        <v>279.58007999999995</v>
      </c>
      <c r="AK72" s="14">
        <f t="shared" si="89"/>
        <v>66.878259963882243</v>
      </c>
      <c r="AL72" s="22">
        <f t="shared" si="58"/>
        <v>603.41494210376152</v>
      </c>
      <c r="AM72" s="62">
        <f t="shared" si="59"/>
        <v>896.74827543709489</v>
      </c>
      <c r="AN72" s="62">
        <f ca="1">AVERAGE(OFFSET($AM$3,0,0,'Données projet'!$E$10+1,1))-AVERAGE(OFFSET($H$3,0,0,'Données projet'!$E$10+1,1))</f>
        <v>449.16408464351673</v>
      </c>
      <c r="AO72" s="62">
        <f t="shared" si="90"/>
        <v>290.39826583283588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1.6559496819283418E-5</v>
      </c>
      <c r="AX72" s="23">
        <f t="shared" si="60"/>
        <v>1.6559496819283418E-5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8.1999999999999993</v>
      </c>
      <c r="BD72" s="13">
        <f>IF('Données projet'!$A$88&gt;35,BD71+BC72-BL71,IF(A72&lt;'Données projet'!$A$88,$BA$205^A72,IF(A72='Données projet'!$A$88,'Données projet'!$B$88,BD71+BC72-BL71)))</f>
        <v>293.79999999999995</v>
      </c>
      <c r="BE72" s="14">
        <f>BD72*VLOOKUP('Données projet'!$B$11,Paramètres!$A$1:$I$89,3,0)*VLOOKUP('Données projet'!$B$11,Paramètres!$A$1:$I$89,5,0)</f>
        <v>284.16335999999995</v>
      </c>
      <c r="BF72" s="14">
        <f t="shared" si="91"/>
        <v>67.846089314219739</v>
      </c>
      <c r="BG72" s="22">
        <f t="shared" si="61"/>
        <v>613.08312422226595</v>
      </c>
      <c r="BH72" s="62">
        <f t="shared" si="62"/>
        <v>906.41645755559921</v>
      </c>
      <c r="BI72" s="62">
        <f ca="1">AVERAGE(OFFSET($BH$3,0,0,'Données projet'!$E$11+1,1))-AVERAGE(OFFSET($H$3,0,0,'Données projet'!$E$11+1,1))</f>
        <v>455.85294519779609</v>
      </c>
      <c r="BJ72" s="62">
        <f t="shared" si="92"/>
        <v>294.45557293177131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1.6830963980255273E-5</v>
      </c>
      <c r="BS72" s="24">
        <f t="shared" si="63"/>
        <v>1.6830963980255273E-5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5.6843418860808015E-14</v>
      </c>
      <c r="BZ72" s="14">
        <f>BY72*VLOOKUP('Données projet'!$B$12,Paramètres!$A$1:$I$89,3,0)*VLOOKUP('Données projet'!$B$12,Paramètres!$A$1:$I$89,5,0)</f>
        <v>4.9658410716801891E-14</v>
      </c>
      <c r="CA72" s="14">
        <f t="shared" si="93"/>
        <v>8.0934058173791862E-13</v>
      </c>
      <c r="CB72" s="22">
        <f t="shared" si="64"/>
        <v>1.4960899118586383E-12</v>
      </c>
      <c r="CC72" s="62">
        <f t="shared" si="65"/>
        <v>293.33333333333479</v>
      </c>
      <c r="CD72" s="62">
        <f ca="1">AVERAGE(OFFSET($CC$3,0,0,'Données projet'!$E$12+1,1))-AVERAGE(OFFSET($H$3,0,0,'Données projet'!$E$12+1,1))</f>
        <v>304.32767345253382</v>
      </c>
      <c r="CE72" s="62">
        <f t="shared" si="94"/>
        <v>427.16091343339173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-5.6843418860808015E-14</v>
      </c>
      <c r="CU72" s="18">
        <f>CT72*VLOOKUP('Données projet'!$B$13,Paramètres!$A$1:$I$89,3,0)*VLOOKUP('Données projet'!$B$13,Paramètres!$A$1:$I$89,5,0)</f>
        <v>-5.1431925385259088E-14</v>
      </c>
      <c r="CV72" s="14" t="e">
        <f t="shared" si="95"/>
        <v>#NUM!</v>
      </c>
      <c r="CW72" s="22" t="e">
        <f t="shared" si="67"/>
        <v>#NUM!</v>
      </c>
      <c r="CX72" s="62" t="e">
        <f t="shared" si="68"/>
        <v>#NUM!</v>
      </c>
      <c r="CY72" s="62">
        <f ca="1">AVERAGE(OFFSET($CX$3,0,0,'Données projet'!$E$13+1,1))-AVERAGE(OFFSET($H$3,0,0,'Données projet'!$E$13+1,1))</f>
        <v>350.06545824795847</v>
      </c>
      <c r="CZ72" s="62">
        <f t="shared" si="96"/>
        <v>513.80016421153414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8.1999999999999993</v>
      </c>
      <c r="DO72" s="13">
        <f>IF('Données projet'!$A$166&gt;35,DO71+DN72-DW71,IF(A72&lt;'Données projet'!$A$166,$DL$205^A72,IF(A72='Données projet'!$A$166,'Données projet'!$B$166,DO71+DN72-DW71)))</f>
        <v>293.79999999999995</v>
      </c>
      <c r="DP72" s="18">
        <f>DO72*VLOOKUP('Données projet'!$B$14,Paramètres!$A$1:$I$89,3,0)*VLOOKUP('Données projet'!$B$14,Paramètres!$A$1:$I$89,5,0)</f>
        <v>233.74727999999996</v>
      </c>
      <c r="DQ72" s="14">
        <f t="shared" si="97"/>
        <v>57.092167398311005</v>
      </c>
      <c r="DR72" s="22">
        <f t="shared" si="70"/>
        <v>506.54537088539155</v>
      </c>
      <c r="DS72" s="62">
        <f t="shared" si="71"/>
        <v>799.87870421872481</v>
      </c>
      <c r="DT72" s="62">
        <f ca="1">AVERAGE(OFFSET($DS$3,0,0,'Données projet'!$E$14+1,1))-AVERAGE(OFFSET($H$3,0,0,'Données projet'!$E$14+1,1))</f>
        <v>382.14353215900121</v>
      </c>
      <c r="DU72" s="62">
        <f t="shared" si="98"/>
        <v>249.73945975250177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1.3844825209564828E-5</v>
      </c>
      <c r="ED72" s="24">
        <f t="shared" si="72"/>
        <v>1.3844825209564828E-5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302</v>
      </c>
      <c r="L73" s="13">
        <f>VLOOKUP(A73,'Données projet'!$A$35:$I$55,9,0)</f>
        <v>8.1999999999999993</v>
      </c>
      <c r="M73" s="13">
        <f t="array" ref="M73">INDEX(L:L,MIN(IF(ISNUMBER(L73:L269),ROW(L73:L269),"")))</f>
        <v>8.1999999999999993</v>
      </c>
      <c r="N73" s="14">
        <f>IF('Données projet'!$A$36&gt;35,N72+M73-V72,IF(A73&lt;'Données projet'!$A$36,$K$205^A73,IF(A73='Données projet'!$A$36,'Données projet'!$B$36,N72+M73-V72)))</f>
        <v>301.99999999999994</v>
      </c>
      <c r="O73" s="14">
        <f>N73*VLOOKUP('Données projet'!$B$9,Paramètres!$A$1:$I$89,3,0)*VLOOKUP('Données projet'!$B$9,Paramètres!$A$1:$I$89,5,0)</f>
        <v>273.24959999999999</v>
      </c>
      <c r="P73" s="14">
        <f t="shared" si="87"/>
        <v>65.538435495514321</v>
      </c>
      <c r="Q73" s="22">
        <f t="shared" si="54"/>
        <v>590.05582848802067</v>
      </c>
      <c r="R73" s="62">
        <f t="shared" si="55"/>
        <v>883.38916182135404</v>
      </c>
      <c r="S73" s="62">
        <f ca="1">AVERAGE(OFFSET($R$3,0,0,'Données projet'!$E$9+1,1))-AVERAGE(OFFSET($H$3,0,0,'Données projet'!$E$9+1,1))</f>
        <v>429.08375622925655</v>
      </c>
      <c r="T73" s="62">
        <f t="shared" si="88"/>
        <v>278.21741231699929</v>
      </c>
      <c r="U73" s="16">
        <f>IF(ISNA(VLOOKUP(A73,'Données projet'!$A$35:$I$55,3,0)),0,VLOOKUP(A73,'Données projet'!$A$35:$I$55,3,0))</f>
        <v>11</v>
      </c>
      <c r="V73" s="16">
        <f>IF(ISNA(VLOOKUP(A73,'Données projet'!$A$35:$I$55,4,0)),0,VLOOKUP(A73,'Données projet'!$A$35:$I$55,4,0))</f>
        <v>28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1.1133463682774378E-5</v>
      </c>
      <c r="AC73" s="24">
        <f t="shared" si="57"/>
        <v>1.1133463682774378E-5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302</v>
      </c>
      <c r="AG73" s="13">
        <f>VLOOKUP(A73,'Données projet'!$A$61:$I$81,9,0)</f>
        <v>8.1999999999999993</v>
      </c>
      <c r="AH73" s="13">
        <f t="array" ref="AH73">INDEX(AG:AG,MIN(IF(ISNUMBER(AG73:AG269),ROW(AG73:AG269),"")))</f>
        <v>8.1999999999999993</v>
      </c>
      <c r="AI73" s="14">
        <f>IF('Données projet'!$A$62&gt;35,AI72+AH73-AQ72,IF(A73&lt;'Données projet'!$A$62,$AF$205^A73,IF(A73='Données projet'!$A$62,'Données projet'!$B$62,AI72+AH73-AQ72)))</f>
        <v>301.99999999999994</v>
      </c>
      <c r="AJ73" s="14">
        <f>AI73*VLOOKUP('Données projet'!$B$10,Paramètres!$A$1:$I$89,3,0)*VLOOKUP('Données projet'!$B$10,Paramètres!$A$1:$I$89,5,0)</f>
        <v>287.38319999999999</v>
      </c>
      <c r="AK73" s="14">
        <f t="shared" si="89"/>
        <v>68.524919967962759</v>
      </c>
      <c r="AL73" s="22">
        <f t="shared" si="58"/>
        <v>619.87330894420177</v>
      </c>
      <c r="AM73" s="62">
        <f t="shared" si="59"/>
        <v>913.20664227753514</v>
      </c>
      <c r="AN73" s="62">
        <f ca="1">AVERAGE(OFFSET($AM$3,0,0,'Données projet'!$E$10+1,1))-AVERAGE(OFFSET($H$3,0,0,'Données projet'!$E$10+1,1))</f>
        <v>449.16408464351673</v>
      </c>
      <c r="AO73" s="62">
        <f t="shared" si="90"/>
        <v>290.39826583283588</v>
      </c>
      <c r="AP73" s="16">
        <f>IF(ISNA(VLOOKUP(A73,'Données projet'!$A$61:$I$81,3,0)),0,VLOOKUP(A73,'Données projet'!$A$61:$I$81,3,0))</f>
        <v>11</v>
      </c>
      <c r="AQ73" s="16">
        <f>IF(ISNA(VLOOKUP(A73,'Données projet'!$A$61:$I$81,4,0)),0,VLOOKUP(A73,'Données projet'!$A$61:$I$81,4,0))</f>
        <v>28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1.170933249395237E-5</v>
      </c>
      <c r="AX73" s="23">
        <f t="shared" si="60"/>
        <v>1.170933249395237E-5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302</v>
      </c>
      <c r="BB73" s="13">
        <f>VLOOKUP(A73,'Données projet'!$A$87:$I$107,9,0)</f>
        <v>8.1999999999999993</v>
      </c>
      <c r="BC73" s="13">
        <f t="array" ref="BC73">INDEX(BB:BB,MIN(IF(ISNUMBER(BB73:BB269),ROW(BB73:BB269),"")))</f>
        <v>8.1999999999999993</v>
      </c>
      <c r="BD73" s="13">
        <f>IF('Données projet'!$A$88&gt;35,BD72+BC73-BL72,IF(A73&lt;'Données projet'!$A$88,$BA$205^A73,IF(A73='Données projet'!$A$88,'Données projet'!$B$88,BD72+BC73-BL72)))</f>
        <v>301.99999999999994</v>
      </c>
      <c r="BE73" s="14">
        <f>BD73*VLOOKUP('Données projet'!$B$11,Paramètres!$A$1:$I$89,3,0)*VLOOKUP('Données projet'!$B$11,Paramètres!$A$1:$I$89,5,0)</f>
        <v>292.09439999999995</v>
      </c>
      <c r="BF73" s="14">
        <f t="shared" si="91"/>
        <v>69.516578973599849</v>
      </c>
      <c r="BG73" s="22">
        <f t="shared" si="61"/>
        <v>629.80578837901965</v>
      </c>
      <c r="BH73" s="62">
        <f t="shared" si="62"/>
        <v>923.13912171235302</v>
      </c>
      <c r="BI73" s="62">
        <f ca="1">AVERAGE(OFFSET($BH$3,0,0,'Données projet'!$E$11+1,1))-AVERAGE(OFFSET($H$3,0,0,'Données projet'!$E$11+1,1))</f>
        <v>455.85294519779609</v>
      </c>
      <c r="BJ73" s="62">
        <f t="shared" si="92"/>
        <v>294.45557293177131</v>
      </c>
      <c r="BK73" s="16">
        <f>IF(ISNA(VLOOKUP(A73,'Données projet'!$A$87:$I$107,3,0)),0,VLOOKUP(A73,'Données projet'!$A$87:$I$107,3,0))</f>
        <v>11</v>
      </c>
      <c r="BL73" s="16">
        <f>IF(ISNA(VLOOKUP(A73,'Données projet'!$A$87:$I$107,4,0)),0,VLOOKUP(A73,'Données projet'!$A$87:$I$107,4,0))</f>
        <v>28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1.1901288764345028E-5</v>
      </c>
      <c r="BS73" s="24">
        <f t="shared" si="63"/>
        <v>1.1901288764345028E-5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5.6843418860808015E-14</v>
      </c>
      <c r="BZ73" s="14">
        <f>BY73*VLOOKUP('Données projet'!$B$12,Paramètres!$A$1:$I$89,3,0)*VLOOKUP('Données projet'!$B$12,Paramètres!$A$1:$I$89,5,0)</f>
        <v>4.9658410716801891E-14</v>
      </c>
      <c r="CA73" s="14">
        <f t="shared" si="93"/>
        <v>8.0934058173791862E-13</v>
      </c>
      <c r="CB73" s="22">
        <f t="shared" si="64"/>
        <v>1.4960899118586383E-12</v>
      </c>
      <c r="CC73" s="62">
        <f t="shared" si="65"/>
        <v>293.33333333333479</v>
      </c>
      <c r="CD73" s="62">
        <f ca="1">AVERAGE(OFFSET($CC$3,0,0,'Données projet'!$E$12+1,1))-AVERAGE(OFFSET($H$3,0,0,'Données projet'!$E$12+1,1))</f>
        <v>304.32767345253382</v>
      </c>
      <c r="CE73" s="62">
        <f t="shared" si="94"/>
        <v>427.16091343339173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-5.6843418860808015E-14</v>
      </c>
      <c r="CU73" s="18">
        <f>CT73*VLOOKUP('Données projet'!$B$13,Paramètres!$A$1:$I$89,3,0)*VLOOKUP('Données projet'!$B$13,Paramètres!$A$1:$I$89,5,0)</f>
        <v>-5.1431925385259088E-14</v>
      </c>
      <c r="CV73" s="14" t="e">
        <f t="shared" si="95"/>
        <v>#NUM!</v>
      </c>
      <c r="CW73" s="22" t="e">
        <f t="shared" si="67"/>
        <v>#NUM!</v>
      </c>
      <c r="CX73" s="62" t="e">
        <f t="shared" si="68"/>
        <v>#NUM!</v>
      </c>
      <c r="CY73" s="62">
        <f ca="1">AVERAGE(OFFSET($CX$3,0,0,'Données projet'!$E$13+1,1))-AVERAGE(OFFSET($H$3,0,0,'Données projet'!$E$13+1,1))</f>
        <v>350.06545824795847</v>
      </c>
      <c r="CZ73" s="62">
        <f t="shared" si="96"/>
        <v>513.80016421153414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302</v>
      </c>
      <c r="DM73" s="13">
        <f>VLOOKUP(A73,'Données projet'!$A$165:$I$185,9,0)</f>
        <v>8.1999999999999993</v>
      </c>
      <c r="DN73" s="13">
        <f t="array" ref="DN73">INDEX(DM:DM,MIN(IF(ISNUMBER(DM73:DM269),ROW(DM73:DM269),"")))</f>
        <v>8.1999999999999993</v>
      </c>
      <c r="DO73" s="13">
        <f>IF('Données projet'!$A$166&gt;35,DO72+DN73-DW72,IF(A73&lt;'Données projet'!$A$166,$DL$205^A73,IF(A73='Données projet'!$A$166,'Données projet'!$B$166,DO72+DN73-DW72)))</f>
        <v>301.99999999999994</v>
      </c>
      <c r="DP73" s="18">
        <f>DO73*VLOOKUP('Données projet'!$B$14,Paramètres!$A$1:$I$89,3,0)*VLOOKUP('Données projet'!$B$14,Paramètres!$A$1:$I$89,5,0)</f>
        <v>240.27119999999999</v>
      </c>
      <c r="DQ73" s="14">
        <f t="shared" si="97"/>
        <v>58.497876647502594</v>
      </c>
      <c r="DR73" s="22">
        <f t="shared" si="70"/>
        <v>520.35614182773361</v>
      </c>
      <c r="DS73" s="62">
        <f t="shared" si="71"/>
        <v>813.68947516106687</v>
      </c>
      <c r="DT73" s="62">
        <f ca="1">AVERAGE(OFFSET($DS$3,0,0,'Données projet'!$E$14+1,1))-AVERAGE(OFFSET($H$3,0,0,'Données projet'!$E$14+1,1))</f>
        <v>382.14353215900121</v>
      </c>
      <c r="DU73" s="62">
        <f t="shared" si="98"/>
        <v>249.73945975250177</v>
      </c>
      <c r="DV73" s="16">
        <f>IF(ISNA(VLOOKUP(A73,'Données projet'!$A$165:$I$185,3,0)),0,VLOOKUP(A73,'Données projet'!$A$165:$I$185,3,0))</f>
        <v>11</v>
      </c>
      <c r="DW73" s="16">
        <f>IF(ISNA(VLOOKUP(A73,'Données projet'!$A$165:$I$185,4,0)),0,VLOOKUP(A73,'Données projet'!$A$165:$I$185,4,0))</f>
        <v>28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9.7897697900257538E-6</v>
      </c>
      <c r="ED73" s="24">
        <f t="shared" si="72"/>
        <v>9.7897697900257538E-6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7.6</v>
      </c>
      <c r="N74" s="14">
        <f>IF('Données projet'!$A$36&gt;35,N73+M74-V73,IF(A74&lt;'Données projet'!$A$36,$K$205^A74,IF(A74='Données projet'!$A$36,'Données projet'!$B$36,N73+M74-V73)))</f>
        <v>281.59999999999997</v>
      </c>
      <c r="O74" s="14">
        <f>N74*VLOOKUP('Données projet'!$B$9,Paramètres!$A$1:$I$89,3,0)*VLOOKUP('Données projet'!$B$9,Paramètres!$A$1:$I$89,5,0)</f>
        <v>254.79167999999996</v>
      </c>
      <c r="P74" s="14">
        <f t="shared" si="87"/>
        <v>61.610870508448471</v>
      </c>
      <c r="Q74" s="22">
        <f t="shared" si="54"/>
        <v>551.067775468881</v>
      </c>
      <c r="R74" s="62">
        <f t="shared" si="55"/>
        <v>844.40110880221437</v>
      </c>
      <c r="S74" s="62">
        <f ca="1">AVERAGE(OFFSET($R$3,0,0,'Données projet'!$E$9+1,1))-AVERAGE(OFFSET($H$3,0,0,'Données projet'!$E$9+1,1))</f>
        <v>429.08375622925655</v>
      </c>
      <c r="T74" s="62">
        <f t="shared" si="88"/>
        <v>278.21741231699929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7.8725476681839155E-6</v>
      </c>
      <c r="AC74" s="24">
        <f t="shared" si="57"/>
        <v>7.8725476681839155E-6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7.6</v>
      </c>
      <c r="AI74" s="14">
        <f>IF('Données projet'!$A$62&gt;35,AI73+AH74-AQ73,IF(A74&lt;'Données projet'!$A$62,$AF$205^A74,IF(A74='Données projet'!$A$62,'Données projet'!$B$62,AI73+AH74-AQ73)))</f>
        <v>281.59999999999997</v>
      </c>
      <c r="AJ74" s="14">
        <f>AI74*VLOOKUP('Données projet'!$B$10,Paramètres!$A$1:$I$89,3,0)*VLOOKUP('Données projet'!$B$10,Paramètres!$A$1:$I$89,5,0)</f>
        <v>267.97055999999998</v>
      </c>
      <c r="AK74" s="14">
        <f t="shared" si="89"/>
        <v>64.418381959040033</v>
      </c>
      <c r="AL74" s="22">
        <f t="shared" si="58"/>
        <v>578.91074057866138</v>
      </c>
      <c r="AM74" s="62">
        <f t="shared" si="59"/>
        <v>872.24407391199475</v>
      </c>
      <c r="AN74" s="62">
        <f ca="1">AVERAGE(OFFSET($AM$3,0,0,'Données projet'!$E$10+1,1))-AVERAGE(OFFSET($H$3,0,0,'Données projet'!$E$10+1,1))</f>
        <v>449.16408464351673</v>
      </c>
      <c r="AO74" s="62">
        <f t="shared" si="90"/>
        <v>290.39826583283588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8.279748409641709E-6</v>
      </c>
      <c r="AX74" s="23">
        <f t="shared" si="60"/>
        <v>8.279748409641709E-6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7.6</v>
      </c>
      <c r="BD74" s="13">
        <f>IF('Données projet'!$A$88&gt;35,BD73+BC74-BL73,IF(A74&lt;'Données projet'!$A$88,$BA$205^A74,IF(A74='Données projet'!$A$88,'Données projet'!$B$88,BD73+BC74-BL73)))</f>
        <v>281.59999999999997</v>
      </c>
      <c r="BE74" s="14">
        <f>BD74*VLOOKUP('Données projet'!$B$11,Paramètres!$A$1:$I$89,3,0)*VLOOKUP('Données projet'!$B$11,Paramètres!$A$1:$I$89,5,0)</f>
        <v>272.36351999999999</v>
      </c>
      <c r="BF74" s="14">
        <f t="shared" si="91"/>
        <v>65.350613162347059</v>
      </c>
      <c r="BG74" s="22">
        <f t="shared" si="61"/>
        <v>588.18544859108772</v>
      </c>
      <c r="BH74" s="62">
        <f t="shared" si="62"/>
        <v>881.51878192442109</v>
      </c>
      <c r="BI74" s="62">
        <f ca="1">AVERAGE(OFFSET($BH$3,0,0,'Données projet'!$E$11+1,1))-AVERAGE(OFFSET($H$3,0,0,'Données projet'!$E$11+1,1))</f>
        <v>455.85294519779609</v>
      </c>
      <c r="BJ74" s="62">
        <f t="shared" si="92"/>
        <v>294.45557293177131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8.4154819901276363E-6</v>
      </c>
      <c r="BS74" s="24">
        <f t="shared" si="63"/>
        <v>8.4154819901276363E-6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5.6843418860808015E-14</v>
      </c>
      <c r="BZ74" s="14">
        <f>BY74*VLOOKUP('Données projet'!$B$12,Paramètres!$A$1:$I$89,3,0)*VLOOKUP('Données projet'!$B$12,Paramètres!$A$1:$I$89,5,0)</f>
        <v>4.9658410716801891E-14</v>
      </c>
      <c r="CA74" s="14">
        <f t="shared" si="93"/>
        <v>8.0934058173791862E-13</v>
      </c>
      <c r="CB74" s="22">
        <f t="shared" si="64"/>
        <v>1.4960899118586383E-12</v>
      </c>
      <c r="CC74" s="62">
        <f t="shared" si="65"/>
        <v>293.33333333333479</v>
      </c>
      <c r="CD74" s="62">
        <f ca="1">AVERAGE(OFFSET($CC$3,0,0,'Données projet'!$E$12+1,1))-AVERAGE(OFFSET($H$3,0,0,'Données projet'!$E$12+1,1))</f>
        <v>304.32767345253382</v>
      </c>
      <c r="CE74" s="62">
        <f t="shared" si="94"/>
        <v>427.16091343339173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-5.6843418860808015E-14</v>
      </c>
      <c r="CU74" s="18">
        <f>CT74*VLOOKUP('Données projet'!$B$13,Paramètres!$A$1:$I$89,3,0)*VLOOKUP('Données projet'!$B$13,Paramètres!$A$1:$I$89,5,0)</f>
        <v>-5.1431925385259088E-14</v>
      </c>
      <c r="CV74" s="14" t="e">
        <f t="shared" si="95"/>
        <v>#NUM!</v>
      </c>
      <c r="CW74" s="22" t="e">
        <f t="shared" si="67"/>
        <v>#NUM!</v>
      </c>
      <c r="CX74" s="62" t="e">
        <f t="shared" si="68"/>
        <v>#NUM!</v>
      </c>
      <c r="CY74" s="62">
        <f ca="1">AVERAGE(OFFSET($CX$3,0,0,'Données projet'!$E$13+1,1))-AVERAGE(OFFSET($H$3,0,0,'Données projet'!$E$13+1,1))</f>
        <v>350.06545824795847</v>
      </c>
      <c r="CZ74" s="62">
        <f t="shared" si="96"/>
        <v>513.80016421153414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7.6</v>
      </c>
      <c r="DO74" s="13">
        <f>IF('Données projet'!$A$166&gt;35,DO73+DN74-DW73,IF(A74&lt;'Données projet'!$A$166,$DL$205^A74,IF(A74='Données projet'!$A$166,'Données projet'!$B$166,DO73+DN74-DW73)))</f>
        <v>281.59999999999997</v>
      </c>
      <c r="DP74" s="18">
        <f>DO74*VLOOKUP('Données projet'!$B$14,Paramètres!$A$1:$I$89,3,0)*VLOOKUP('Données projet'!$B$14,Paramètres!$A$1:$I$89,5,0)</f>
        <v>224.04095999999998</v>
      </c>
      <c r="DQ74" s="14">
        <f t="shared" si="97"/>
        <v>54.992235867381282</v>
      </c>
      <c r="DR74" s="22">
        <f t="shared" si="70"/>
        <v>485.98281613568906</v>
      </c>
      <c r="DS74" s="62">
        <f t="shared" si="71"/>
        <v>779.31614946902232</v>
      </c>
      <c r="DT74" s="62">
        <f ca="1">AVERAGE(OFFSET($DS$3,0,0,'Données projet'!$E$14+1,1))-AVERAGE(OFFSET($H$3,0,0,'Données projet'!$E$14+1,1))</f>
        <v>382.14353215900121</v>
      </c>
      <c r="DU74" s="62">
        <f t="shared" si="98"/>
        <v>249.73945975250177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6.922412604782414E-6</v>
      </c>
      <c r="ED74" s="24">
        <f t="shared" si="72"/>
        <v>6.922412604782414E-6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7.6</v>
      </c>
      <c r="N75" s="14">
        <f>IF('Données projet'!$A$36&gt;35,N74+M75-V74,IF(A75&lt;'Données projet'!$A$36,$K$205^A75,IF(A75='Données projet'!$A$36,'Données projet'!$B$36,N74+M75-V74)))</f>
        <v>289.2</v>
      </c>
      <c r="O75" s="14">
        <f>N75*VLOOKUP('Données projet'!$B$9,Paramètres!$A$1:$I$89,3,0)*VLOOKUP('Données projet'!$B$9,Paramètres!$A$1:$I$89,5,0)</f>
        <v>261.66816</v>
      </c>
      <c r="P75" s="14">
        <f t="shared" si="87"/>
        <v>63.077829793082856</v>
      </c>
      <c r="Q75" s="22">
        <f t="shared" si="54"/>
        <v>565.5992655562859</v>
      </c>
      <c r="R75" s="62">
        <f t="shared" si="55"/>
        <v>858.93259888961916</v>
      </c>
      <c r="S75" s="62">
        <f ca="1">AVERAGE(OFFSET($R$3,0,0,'Données projet'!$E$9+1,1))-AVERAGE(OFFSET($H$3,0,0,'Données projet'!$E$9+1,1))</f>
        <v>429.08375622925655</v>
      </c>
      <c r="T75" s="62">
        <f t="shared" si="88"/>
        <v>278.21741231699929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5.5667318413871891E-6</v>
      </c>
      <c r="AC75" s="24">
        <f t="shared" si="57"/>
        <v>5.5667318413871891E-6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7.6</v>
      </c>
      <c r="AI75" s="14">
        <f>IF('Données projet'!$A$62&gt;35,AI74+AH75-AQ74,IF(A75&lt;'Données projet'!$A$62,$AF$205^A75,IF(A75='Données projet'!$A$62,'Données projet'!$B$62,AI74+AH75-AQ74)))</f>
        <v>289.2</v>
      </c>
      <c r="AJ75" s="14">
        <f>AI75*VLOOKUP('Données projet'!$B$10,Paramètres!$A$1:$I$89,3,0)*VLOOKUP('Données projet'!$B$10,Paramètres!$A$1:$I$89,5,0)</f>
        <v>275.20272</v>
      </c>
      <c r="AK75" s="14">
        <f t="shared" si="89"/>
        <v>65.952188294449357</v>
      </c>
      <c r="AL75" s="22">
        <f t="shared" si="58"/>
        <v>594.17813194616588</v>
      </c>
      <c r="AM75" s="62">
        <f t="shared" si="59"/>
        <v>887.51146527949913</v>
      </c>
      <c r="AN75" s="62">
        <f ca="1">AVERAGE(OFFSET($AM$3,0,0,'Données projet'!$E$10+1,1))-AVERAGE(OFFSET($H$3,0,0,'Données projet'!$E$10+1,1))</f>
        <v>449.16408464351673</v>
      </c>
      <c r="AO75" s="62">
        <f t="shared" si="90"/>
        <v>290.39826583283588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5.8546662469761849E-6</v>
      </c>
      <c r="AX75" s="23">
        <f t="shared" si="60"/>
        <v>5.8546662469761849E-6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7.6</v>
      </c>
      <c r="BD75" s="13">
        <f>IF('Données projet'!$A$88&gt;35,BD74+BC75-BL74,IF(A75&lt;'Données projet'!$A$88,$BA$205^A75,IF(A75='Données projet'!$A$88,'Données projet'!$B$88,BD74+BC75-BL74)))</f>
        <v>289.2</v>
      </c>
      <c r="BE75" s="14">
        <f>BD75*VLOOKUP('Données projet'!$B$11,Paramètres!$A$1:$I$89,3,0)*VLOOKUP('Données projet'!$B$11,Paramètres!$A$1:$I$89,5,0)</f>
        <v>279.71424000000002</v>
      </c>
      <c r="BF75" s="14">
        <f t="shared" si="91"/>
        <v>66.906615990158315</v>
      </c>
      <c r="BG75" s="22">
        <f t="shared" si="61"/>
        <v>603.69799084952581</v>
      </c>
      <c r="BH75" s="62">
        <f t="shared" si="62"/>
        <v>897.03132418285918</v>
      </c>
      <c r="BI75" s="62">
        <f ca="1">AVERAGE(OFFSET($BH$3,0,0,'Données projet'!$E$11+1,1))-AVERAGE(OFFSET($H$3,0,0,'Données projet'!$E$11+1,1))</f>
        <v>455.85294519779609</v>
      </c>
      <c r="BJ75" s="62">
        <f t="shared" si="92"/>
        <v>294.45557293177131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5.950644382172514E-6</v>
      </c>
      <c r="BS75" s="24">
        <f t="shared" si="63"/>
        <v>5.950644382172514E-6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5.6843418860808015E-14</v>
      </c>
      <c r="BZ75" s="14">
        <f>BY75*VLOOKUP('Données projet'!$B$12,Paramètres!$A$1:$I$89,3,0)*VLOOKUP('Données projet'!$B$12,Paramètres!$A$1:$I$89,5,0)</f>
        <v>4.9658410716801891E-14</v>
      </c>
      <c r="CA75" s="14">
        <f t="shared" si="93"/>
        <v>8.0934058173791862E-13</v>
      </c>
      <c r="CB75" s="22">
        <f t="shared" si="64"/>
        <v>1.4960899118586383E-12</v>
      </c>
      <c r="CC75" s="62">
        <f t="shared" si="65"/>
        <v>293.33333333333479</v>
      </c>
      <c r="CD75" s="62">
        <f ca="1">AVERAGE(OFFSET($CC$3,0,0,'Données projet'!$E$12+1,1))-AVERAGE(OFFSET($H$3,0,0,'Données projet'!$E$12+1,1))</f>
        <v>304.32767345253382</v>
      </c>
      <c r="CE75" s="62">
        <f t="shared" si="94"/>
        <v>427.16091343339173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-5.6843418860808015E-14</v>
      </c>
      <c r="CU75" s="18">
        <f>CT75*VLOOKUP('Données projet'!$B$13,Paramètres!$A$1:$I$89,3,0)*VLOOKUP('Données projet'!$B$13,Paramètres!$A$1:$I$89,5,0)</f>
        <v>-5.1431925385259088E-14</v>
      </c>
      <c r="CV75" s="14" t="e">
        <f t="shared" si="95"/>
        <v>#NUM!</v>
      </c>
      <c r="CW75" s="22" t="e">
        <f t="shared" si="67"/>
        <v>#NUM!</v>
      </c>
      <c r="CX75" s="62" t="e">
        <f t="shared" si="68"/>
        <v>#NUM!</v>
      </c>
      <c r="CY75" s="62">
        <f ca="1">AVERAGE(OFFSET($CX$3,0,0,'Données projet'!$E$13+1,1))-AVERAGE(OFFSET($H$3,0,0,'Données projet'!$E$13+1,1))</f>
        <v>350.06545824795847</v>
      </c>
      <c r="CZ75" s="62">
        <f t="shared" si="96"/>
        <v>513.80016421153414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7.6</v>
      </c>
      <c r="DO75" s="13">
        <f>IF('Données projet'!$A$166&gt;35,DO74+DN75-DW74,IF(A75&lt;'Données projet'!$A$166,$DL$205^A75,IF(A75='Données projet'!$A$166,'Données projet'!$B$166,DO74+DN75-DW74)))</f>
        <v>289.2</v>
      </c>
      <c r="DP75" s="18">
        <f>DO75*VLOOKUP('Données projet'!$B$14,Paramètres!$A$1:$I$89,3,0)*VLOOKUP('Données projet'!$B$14,Paramètres!$A$1:$I$89,5,0)</f>
        <v>230.08751999999998</v>
      </c>
      <c r="DQ75" s="14">
        <f t="shared" si="97"/>
        <v>56.301604982323319</v>
      </c>
      <c r="DR75" s="22">
        <f t="shared" si="70"/>
        <v>498.79439267754645</v>
      </c>
      <c r="DS75" s="62">
        <f t="shared" si="71"/>
        <v>792.12772601087977</v>
      </c>
      <c r="DT75" s="62">
        <f ca="1">AVERAGE(OFFSET($DS$3,0,0,'Données projet'!$E$14+1,1))-AVERAGE(OFFSET($H$3,0,0,'Données projet'!$E$14+1,1))</f>
        <v>382.14353215900121</v>
      </c>
      <c r="DU75" s="62">
        <f t="shared" si="98"/>
        <v>249.73945975250177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4.8948848950128769E-6</v>
      </c>
      <c r="ED75" s="24">
        <f t="shared" si="72"/>
        <v>4.8948848950128769E-6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7.6</v>
      </c>
      <c r="N76" s="14">
        <f>IF('Données projet'!$A$36&gt;35,N75+M76-V75,IF(A76&lt;'Données projet'!$A$36,$K$205^A76,IF(A76='Données projet'!$A$36,'Données projet'!$B$36,N75+M76-V75)))</f>
        <v>296.8</v>
      </c>
      <c r="O76" s="14">
        <f>N76*VLOOKUP('Données projet'!$B$9,Paramètres!$A$1:$I$89,3,0)*VLOOKUP('Données projet'!$B$9,Paramètres!$A$1:$I$89,5,0)</f>
        <v>268.54464000000002</v>
      </c>
      <c r="P76" s="14">
        <f t="shared" si="87"/>
        <v>64.54030807605065</v>
      </c>
      <c r="Q76" s="22">
        <f t="shared" si="54"/>
        <v>580.12295123245474</v>
      </c>
      <c r="R76" s="62">
        <f t="shared" si="55"/>
        <v>873.45628456578811</v>
      </c>
      <c r="S76" s="62">
        <f ca="1">AVERAGE(OFFSET($R$3,0,0,'Données projet'!$E$9+1,1))-AVERAGE(OFFSET($H$3,0,0,'Données projet'!$E$9+1,1))</f>
        <v>429.08375622925655</v>
      </c>
      <c r="T76" s="62">
        <f t="shared" si="88"/>
        <v>278.21741231699929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3.9362738340919578E-6</v>
      </c>
      <c r="AC76" s="24">
        <f t="shared" si="57"/>
        <v>3.9362738340919578E-6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7.6</v>
      </c>
      <c r="AI76" s="14">
        <f>IF('Données projet'!$A$62&gt;35,AI75+AH76-AQ75,IF(A76&lt;'Données projet'!$A$62,$AF$205^A76,IF(A76='Données projet'!$A$62,'Données projet'!$B$62,AI75+AH76-AQ75)))</f>
        <v>296.8</v>
      </c>
      <c r="AJ76" s="14">
        <f>AI76*VLOOKUP('Données projet'!$B$10,Paramètres!$A$1:$I$89,3,0)*VLOOKUP('Données projet'!$B$10,Paramètres!$A$1:$I$89,5,0)</f>
        <v>282.43488000000002</v>
      </c>
      <c r="AK76" s="14">
        <f t="shared" si="89"/>
        <v>67.481309435922299</v>
      </c>
      <c r="AL76" s="22">
        <f t="shared" si="58"/>
        <v>609.43736326756471</v>
      </c>
      <c r="AM76" s="62">
        <f t="shared" si="59"/>
        <v>902.77069660089796</v>
      </c>
      <c r="AN76" s="62">
        <f ca="1">AVERAGE(OFFSET($AM$3,0,0,'Données projet'!$E$10+1,1))-AVERAGE(OFFSET($H$3,0,0,'Données projet'!$E$10+1,1))</f>
        <v>449.16408464351673</v>
      </c>
      <c r="AO76" s="62">
        <f t="shared" si="90"/>
        <v>290.39826583283588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4.1398742048208545E-6</v>
      </c>
      <c r="AX76" s="23">
        <f t="shared" si="60"/>
        <v>4.1398742048208545E-6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7.6</v>
      </c>
      <c r="BD76" s="13">
        <f>IF('Données projet'!$A$88&gt;35,BD75+BC76-BL75,IF(A76&lt;'Données projet'!$A$88,$BA$205^A76,IF(A76='Données projet'!$A$88,'Données projet'!$B$88,BD75+BC76-BL75)))</f>
        <v>296.8</v>
      </c>
      <c r="BE76" s="14">
        <f>BD76*VLOOKUP('Données projet'!$B$11,Paramètres!$A$1:$I$89,3,0)*VLOOKUP('Données projet'!$B$11,Paramètres!$A$1:$I$89,5,0)</f>
        <v>287.06496000000004</v>
      </c>
      <c r="BF76" s="14">
        <f t="shared" si="91"/>
        <v>68.457865822206315</v>
      </c>
      <c r="BG76" s="22">
        <f t="shared" si="61"/>
        <v>619.20225497367608</v>
      </c>
      <c r="BH76" s="62">
        <f t="shared" si="62"/>
        <v>912.53558830700945</v>
      </c>
      <c r="BI76" s="62">
        <f ca="1">AVERAGE(OFFSET($BH$3,0,0,'Données projet'!$E$11+1,1))-AVERAGE(OFFSET($H$3,0,0,'Données projet'!$E$11+1,1))</f>
        <v>455.85294519779609</v>
      </c>
      <c r="BJ76" s="62">
        <f t="shared" si="92"/>
        <v>294.45557293177131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4.2077409950638181E-6</v>
      </c>
      <c r="BS76" s="24">
        <f t="shared" si="63"/>
        <v>4.2077409950638181E-6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5.6843418860808015E-14</v>
      </c>
      <c r="BZ76" s="14">
        <f>BY76*VLOOKUP('Données projet'!$B$12,Paramètres!$A$1:$I$89,3,0)*VLOOKUP('Données projet'!$B$12,Paramètres!$A$1:$I$89,5,0)</f>
        <v>4.9658410716801891E-14</v>
      </c>
      <c r="CA76" s="14">
        <f t="shared" si="93"/>
        <v>8.0934058173791862E-13</v>
      </c>
      <c r="CB76" s="22">
        <f t="shared" si="64"/>
        <v>1.4960899118586383E-12</v>
      </c>
      <c r="CC76" s="62">
        <f t="shared" si="65"/>
        <v>293.33333333333479</v>
      </c>
      <c r="CD76" s="62">
        <f ca="1">AVERAGE(OFFSET($CC$3,0,0,'Données projet'!$E$12+1,1))-AVERAGE(OFFSET($H$3,0,0,'Données projet'!$E$12+1,1))</f>
        <v>304.32767345253382</v>
      </c>
      <c r="CE76" s="62">
        <f t="shared" si="94"/>
        <v>427.16091343339173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-5.6843418860808015E-14</v>
      </c>
      <c r="CU76" s="18">
        <f>CT76*VLOOKUP('Données projet'!$B$13,Paramètres!$A$1:$I$89,3,0)*VLOOKUP('Données projet'!$B$13,Paramètres!$A$1:$I$89,5,0)</f>
        <v>-5.1431925385259088E-14</v>
      </c>
      <c r="CV76" s="14" t="e">
        <f t="shared" si="95"/>
        <v>#NUM!</v>
      </c>
      <c r="CW76" s="22" t="e">
        <f t="shared" si="67"/>
        <v>#NUM!</v>
      </c>
      <c r="CX76" s="62" t="e">
        <f t="shared" si="68"/>
        <v>#NUM!</v>
      </c>
      <c r="CY76" s="62">
        <f ca="1">AVERAGE(OFFSET($CX$3,0,0,'Données projet'!$E$13+1,1))-AVERAGE(OFFSET($H$3,0,0,'Données projet'!$E$13+1,1))</f>
        <v>350.06545824795847</v>
      </c>
      <c r="CZ76" s="62">
        <f t="shared" si="96"/>
        <v>513.80016421153414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7.6</v>
      </c>
      <c r="DO76" s="13">
        <f>IF('Données projet'!$A$166&gt;35,DO75+DN76-DW75,IF(A76&lt;'Données projet'!$A$166,$DL$205^A76,IF(A76='Données projet'!$A$166,'Données projet'!$B$166,DO75+DN76-DW75)))</f>
        <v>296.8</v>
      </c>
      <c r="DP76" s="18">
        <f>DO76*VLOOKUP('Données projet'!$B$14,Paramètres!$A$1:$I$89,3,0)*VLOOKUP('Données projet'!$B$14,Paramètres!$A$1:$I$89,5,0)</f>
        <v>236.13408000000001</v>
      </c>
      <c r="DQ76" s="14">
        <f t="shared" si="97"/>
        <v>57.606974473521511</v>
      </c>
      <c r="DR76" s="22">
        <f t="shared" si="70"/>
        <v>511.59900320804996</v>
      </c>
      <c r="DS76" s="62">
        <f t="shared" si="71"/>
        <v>804.93233654138328</v>
      </c>
      <c r="DT76" s="62">
        <f ca="1">AVERAGE(OFFSET($DS$3,0,0,'Données projet'!$E$14+1,1))-AVERAGE(OFFSET($H$3,0,0,'Données projet'!$E$14+1,1))</f>
        <v>382.14353215900121</v>
      </c>
      <c r="DU76" s="62">
        <f t="shared" si="98"/>
        <v>249.73945975250177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3.461206302391207E-6</v>
      </c>
      <c r="ED76" s="24">
        <f t="shared" si="72"/>
        <v>3.461206302391207E-6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7.6</v>
      </c>
      <c r="N77" s="14">
        <f>IF('Données projet'!$A$36&gt;35,N76+M77-V76,IF(A77&lt;'Données projet'!$A$36,$K$205^A77,IF(A77='Données projet'!$A$36,'Données projet'!$B$36,N76+M77-V76)))</f>
        <v>304.40000000000003</v>
      </c>
      <c r="O77" s="14">
        <f>N77*VLOOKUP('Données projet'!$B$9,Paramètres!$A$1:$I$89,3,0)*VLOOKUP('Données projet'!$B$9,Paramètres!$A$1:$I$89,5,0)</f>
        <v>275.42112000000003</v>
      </c>
      <c r="P77" s="14">
        <f t="shared" si="87"/>
        <v>65.998433293601067</v>
      </c>
      <c r="Q77" s="22">
        <f t="shared" si="54"/>
        <v>594.63905531968851</v>
      </c>
      <c r="R77" s="62">
        <f t="shared" si="55"/>
        <v>887.97238865302188</v>
      </c>
      <c r="S77" s="62">
        <f ca="1">AVERAGE(OFFSET($R$3,0,0,'Données projet'!$E$9+1,1))-AVERAGE(OFFSET($H$3,0,0,'Données projet'!$E$9+1,1))</f>
        <v>429.08375622925655</v>
      </c>
      <c r="T77" s="62">
        <f t="shared" si="88"/>
        <v>278.21741231699929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2.7833659206935946E-6</v>
      </c>
      <c r="AC77" s="24">
        <f t="shared" si="57"/>
        <v>2.7833659206935946E-6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7.6</v>
      </c>
      <c r="AI77" s="14">
        <f>IF('Données projet'!$A$62&gt;35,AI76+AH77-AQ76,IF(A77&lt;'Données projet'!$A$62,$AF$205^A77,IF(A77='Données projet'!$A$62,'Données projet'!$B$62,AI76+AH77-AQ76)))</f>
        <v>304.40000000000003</v>
      </c>
      <c r="AJ77" s="14">
        <f>AI77*VLOOKUP('Données projet'!$B$10,Paramètres!$A$1:$I$89,3,0)*VLOOKUP('Données projet'!$B$10,Paramètres!$A$1:$I$89,5,0)</f>
        <v>289.66704000000004</v>
      </c>
      <c r="AK77" s="14">
        <f t="shared" si="89"/>
        <v>69.005879149563839</v>
      </c>
      <c r="AL77" s="22">
        <f t="shared" si="58"/>
        <v>624.68866751882376</v>
      </c>
      <c r="AM77" s="62">
        <f t="shared" si="59"/>
        <v>918.02200085215713</v>
      </c>
      <c r="AN77" s="62">
        <f ca="1">AVERAGE(OFFSET($AM$3,0,0,'Données projet'!$E$10+1,1))-AVERAGE(OFFSET($H$3,0,0,'Données projet'!$E$10+1,1))</f>
        <v>449.16408464351673</v>
      </c>
      <c r="AO77" s="62">
        <f t="shared" si="90"/>
        <v>290.39826583283588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2.9273331234880925E-6</v>
      </c>
      <c r="AX77" s="23">
        <f t="shared" si="60"/>
        <v>2.9273331234880925E-6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7.6</v>
      </c>
      <c r="BD77" s="13">
        <f>IF('Données projet'!$A$88&gt;35,BD76+BC77-BL76,IF(A77&lt;'Données projet'!$A$88,$BA$205^A77,IF(A77='Données projet'!$A$88,'Données projet'!$B$88,BD76+BC77-BL76)))</f>
        <v>304.40000000000003</v>
      </c>
      <c r="BE77" s="14">
        <f>BD77*VLOOKUP('Données projet'!$B$11,Paramètres!$A$1:$I$89,3,0)*VLOOKUP('Données projet'!$B$11,Paramètres!$A$1:$I$89,5,0)</f>
        <v>294.41568000000001</v>
      </c>
      <c r="BF77" s="14">
        <f t="shared" si="91"/>
        <v>70.004498360393455</v>
      </c>
      <c r="BG77" s="22">
        <f t="shared" si="61"/>
        <v>634.69847731101868</v>
      </c>
      <c r="BH77" s="62">
        <f t="shared" si="62"/>
        <v>928.03181064435194</v>
      </c>
      <c r="BI77" s="62">
        <f ca="1">AVERAGE(OFFSET($BH$3,0,0,'Données projet'!$E$11+1,1))-AVERAGE(OFFSET($H$3,0,0,'Données projet'!$E$11+1,1))</f>
        <v>455.85294519779609</v>
      </c>
      <c r="BJ77" s="62">
        <f t="shared" si="92"/>
        <v>294.45557293177131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2.975322191086257E-6</v>
      </c>
      <c r="BS77" s="24">
        <f t="shared" si="63"/>
        <v>2.975322191086257E-6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5.6843418860808015E-14</v>
      </c>
      <c r="BZ77" s="14">
        <f>BY77*VLOOKUP('Données projet'!$B$12,Paramètres!$A$1:$I$89,3,0)*VLOOKUP('Données projet'!$B$12,Paramètres!$A$1:$I$89,5,0)</f>
        <v>4.9658410716801891E-14</v>
      </c>
      <c r="CA77" s="14">
        <f t="shared" si="93"/>
        <v>8.0934058173791862E-13</v>
      </c>
      <c r="CB77" s="22">
        <f t="shared" si="64"/>
        <v>1.4960899118586383E-12</v>
      </c>
      <c r="CC77" s="62">
        <f t="shared" si="65"/>
        <v>293.33333333333479</v>
      </c>
      <c r="CD77" s="62">
        <f ca="1">AVERAGE(OFFSET($CC$3,0,0,'Données projet'!$E$12+1,1))-AVERAGE(OFFSET($H$3,0,0,'Données projet'!$E$12+1,1))</f>
        <v>304.32767345253382</v>
      </c>
      <c r="CE77" s="62">
        <f t="shared" si="94"/>
        <v>427.16091343339173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-5.6843418860808015E-14</v>
      </c>
      <c r="CU77" s="18">
        <f>CT77*VLOOKUP('Données projet'!$B$13,Paramètres!$A$1:$I$89,3,0)*VLOOKUP('Données projet'!$B$13,Paramètres!$A$1:$I$89,5,0)</f>
        <v>-5.1431925385259088E-14</v>
      </c>
      <c r="CV77" s="14" t="e">
        <f t="shared" si="95"/>
        <v>#NUM!</v>
      </c>
      <c r="CW77" s="22" t="e">
        <f t="shared" si="67"/>
        <v>#NUM!</v>
      </c>
      <c r="CX77" s="62" t="e">
        <f t="shared" si="68"/>
        <v>#NUM!</v>
      </c>
      <c r="CY77" s="62">
        <f ca="1">AVERAGE(OFFSET($CX$3,0,0,'Données projet'!$E$13+1,1))-AVERAGE(OFFSET($H$3,0,0,'Données projet'!$E$13+1,1))</f>
        <v>350.06545824795847</v>
      </c>
      <c r="CZ77" s="62">
        <f t="shared" si="96"/>
        <v>513.80016421153414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7.6</v>
      </c>
      <c r="DO77" s="13">
        <f>IF('Données projet'!$A$166&gt;35,DO76+DN77-DW76,IF(A77&lt;'Données projet'!$A$166,$DL$205^A77,IF(A77='Données projet'!$A$166,'Données projet'!$B$166,DO76+DN77-DW76)))</f>
        <v>304.40000000000003</v>
      </c>
      <c r="DP77" s="18">
        <f>DO77*VLOOKUP('Données projet'!$B$14,Paramètres!$A$1:$I$89,3,0)*VLOOKUP('Données projet'!$B$14,Paramètres!$A$1:$I$89,5,0)</f>
        <v>242.18064000000004</v>
      </c>
      <c r="DQ77" s="14">
        <f t="shared" si="97"/>
        <v>58.908458533492883</v>
      </c>
      <c r="DR77" s="22">
        <f t="shared" si="70"/>
        <v>524.3968466125001</v>
      </c>
      <c r="DS77" s="62">
        <f t="shared" si="71"/>
        <v>817.73017994583347</v>
      </c>
      <c r="DT77" s="62">
        <f ca="1">AVERAGE(OFFSET($DS$3,0,0,'Données projet'!$E$14+1,1))-AVERAGE(OFFSET($H$3,0,0,'Données projet'!$E$14+1,1))</f>
        <v>382.14353215900121</v>
      </c>
      <c r="DU77" s="62">
        <f t="shared" si="98"/>
        <v>249.73945975250177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2.4474424475064384E-6</v>
      </c>
      <c r="ED77" s="24">
        <f t="shared" si="72"/>
        <v>2.4474424475064384E-6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312</v>
      </c>
      <c r="L78" s="13">
        <f>VLOOKUP(A78,'Données projet'!$A$35:$I$55,9,0)</f>
        <v>7.6</v>
      </c>
      <c r="M78" s="13">
        <f t="array" ref="M78">INDEX(L:L,MIN(IF(ISNUMBER(L78:L274),ROW(L78:L274),"")))</f>
        <v>7.6</v>
      </c>
      <c r="N78" s="14">
        <f>IF('Données projet'!$A$36&gt;35,N77+M78-V77,IF(A78&lt;'Données projet'!$A$36,$K$205^A78,IF(A78='Données projet'!$A$36,'Données projet'!$B$36,N77+M78-V77)))</f>
        <v>312.00000000000006</v>
      </c>
      <c r="O78" s="14">
        <f>N78*VLOOKUP('Données projet'!$B$9,Paramètres!$A$1:$I$89,3,0)*VLOOKUP('Données projet'!$B$9,Paramètres!$A$1:$I$89,5,0)</f>
        <v>282.29760000000005</v>
      </c>
      <c r="P78" s="14">
        <f t="shared" si="87"/>
        <v>67.452326629470178</v>
      </c>
      <c r="Q78" s="22">
        <f t="shared" si="54"/>
        <v>609.14778887966054</v>
      </c>
      <c r="R78" s="62">
        <f t="shared" si="55"/>
        <v>902.4811222129938</v>
      </c>
      <c r="S78" s="62">
        <f ca="1">AVERAGE(OFFSET($R$3,0,0,'Données projet'!$E$9+1,1))-AVERAGE(OFFSET($H$3,0,0,'Données projet'!$E$9+1,1))</f>
        <v>429.08375622925655</v>
      </c>
      <c r="T78" s="62">
        <f t="shared" si="88"/>
        <v>278.21741231699929</v>
      </c>
      <c r="U78" s="16">
        <f>IF(ISNA(VLOOKUP(A78,'Données projet'!$A$35:$I$55,3,0)),0,VLOOKUP(A78,'Données projet'!$A$35:$I$55,3,0))</f>
        <v>12</v>
      </c>
      <c r="V78" s="16">
        <f>IF(ISNA(VLOOKUP(A78,'Données projet'!$A$35:$I$55,4,0)),0,VLOOKUP(A78,'Données projet'!$A$35:$I$55,4,0))</f>
        <v>28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1.9681369170459789E-6</v>
      </c>
      <c r="AC78" s="24">
        <f t="shared" si="57"/>
        <v>1.9681369170459789E-6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312</v>
      </c>
      <c r="AG78" s="13">
        <f>VLOOKUP(A78,'Données projet'!$A$61:$I$81,9,0)</f>
        <v>7.6</v>
      </c>
      <c r="AH78" s="13">
        <f t="array" ref="AH78">INDEX(AG:AG,MIN(IF(ISNUMBER(AG78:AG274),ROW(AG78:AG274),"")))</f>
        <v>7.6</v>
      </c>
      <c r="AI78" s="14">
        <f>IF('Données projet'!$A$62&gt;35,AI77+AH78-AQ77,IF(A78&lt;'Données projet'!$A$62,$AF$205^A78,IF(A78='Données projet'!$A$62,'Données projet'!$B$62,AI77+AH78-AQ77)))</f>
        <v>312.00000000000006</v>
      </c>
      <c r="AJ78" s="14">
        <f>AI78*VLOOKUP('Données projet'!$B$10,Paramètres!$A$1:$I$89,3,0)*VLOOKUP('Données projet'!$B$10,Paramètres!$A$1:$I$89,5,0)</f>
        <v>296.89920000000006</v>
      </c>
      <c r="AK78" s="14">
        <f t="shared" si="89"/>
        <v>70.526024141264159</v>
      </c>
      <c r="AL78" s="22">
        <f t="shared" si="58"/>
        <v>639.93226537936846</v>
      </c>
      <c r="AM78" s="62">
        <f t="shared" si="59"/>
        <v>933.26559871270183</v>
      </c>
      <c r="AN78" s="62">
        <f ca="1">AVERAGE(OFFSET($AM$3,0,0,'Données projet'!$E$10+1,1))-AVERAGE(OFFSET($H$3,0,0,'Données projet'!$E$10+1,1))</f>
        <v>449.16408464351673</v>
      </c>
      <c r="AO78" s="62">
        <f t="shared" si="90"/>
        <v>290.39826583283588</v>
      </c>
      <c r="AP78" s="16">
        <f>IF(ISNA(VLOOKUP(A78,'Données projet'!$A$61:$I$81,3,0)),0,VLOOKUP(A78,'Données projet'!$A$61:$I$81,3,0))</f>
        <v>12</v>
      </c>
      <c r="AQ78" s="16">
        <f>IF(ISNA(VLOOKUP(A78,'Données projet'!$A$61:$I$81,4,0)),0,VLOOKUP(A78,'Données projet'!$A$61:$I$81,4,0))</f>
        <v>28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2.0699371024104273E-6</v>
      </c>
      <c r="AX78" s="23">
        <f t="shared" si="60"/>
        <v>2.0699371024104273E-6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312</v>
      </c>
      <c r="BB78" s="13">
        <f>VLOOKUP(A78,'Données projet'!$A$87:$I$107,9,0)</f>
        <v>7.6</v>
      </c>
      <c r="BC78" s="13">
        <f t="array" ref="BC78">INDEX(BB:BB,MIN(IF(ISNUMBER(BB78:BB274),ROW(BB78:BB274),"")))</f>
        <v>7.6</v>
      </c>
      <c r="BD78" s="13">
        <f>IF('Données projet'!$A$88&gt;35,BD77+BC78-BL77,IF(A78&lt;'Données projet'!$A$88,$BA$205^A78,IF(A78='Données projet'!$A$88,'Données projet'!$B$88,BD77+BC78-BL77)))</f>
        <v>312.00000000000006</v>
      </c>
      <c r="BE78" s="14">
        <f>BD78*VLOOKUP('Données projet'!$B$11,Paramètres!$A$1:$I$89,3,0)*VLOOKUP('Données projet'!$B$11,Paramètres!$A$1:$I$89,5,0)</f>
        <v>301.76640000000003</v>
      </c>
      <c r="BF78" s="14">
        <f t="shared" si="91"/>
        <v>71.546642144235364</v>
      </c>
      <c r="BG78" s="22">
        <f t="shared" si="61"/>
        <v>650.18688173454336</v>
      </c>
      <c r="BH78" s="62">
        <f t="shared" si="62"/>
        <v>943.52021506787673</v>
      </c>
      <c r="BI78" s="62">
        <f ca="1">AVERAGE(OFFSET($BH$3,0,0,'Données projet'!$E$11+1,1))-AVERAGE(OFFSET($H$3,0,0,'Données projet'!$E$11+1,1))</f>
        <v>455.85294519779609</v>
      </c>
      <c r="BJ78" s="62">
        <f t="shared" si="92"/>
        <v>294.45557293177131</v>
      </c>
      <c r="BK78" s="16">
        <f>IF(ISNA(VLOOKUP(A78,'Données projet'!$A$87:$I$107,3,0)),0,VLOOKUP(A78,'Données projet'!$A$87:$I$107,3,0))</f>
        <v>12</v>
      </c>
      <c r="BL78" s="16">
        <f>IF(ISNA(VLOOKUP(A78,'Données projet'!$A$87:$I$107,4,0)),0,VLOOKUP(A78,'Données projet'!$A$87:$I$107,4,0))</f>
        <v>28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2.1038704975319091E-6</v>
      </c>
      <c r="BS78" s="24">
        <f t="shared" si="63"/>
        <v>2.1038704975319091E-6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5.6843418860808015E-14</v>
      </c>
      <c r="BZ78" s="14">
        <f>BY78*VLOOKUP('Données projet'!$B$12,Paramètres!$A$1:$I$89,3,0)*VLOOKUP('Données projet'!$B$12,Paramètres!$A$1:$I$89,5,0)</f>
        <v>4.9658410716801891E-14</v>
      </c>
      <c r="CA78" s="14">
        <f t="shared" si="93"/>
        <v>8.0934058173791862E-13</v>
      </c>
      <c r="CB78" s="22">
        <f t="shared" si="64"/>
        <v>1.4960899118586383E-12</v>
      </c>
      <c r="CC78" s="62">
        <f t="shared" si="65"/>
        <v>293.33333333333479</v>
      </c>
      <c r="CD78" s="62">
        <f ca="1">AVERAGE(OFFSET($CC$3,0,0,'Données projet'!$E$12+1,1))-AVERAGE(OFFSET($H$3,0,0,'Données projet'!$E$12+1,1))</f>
        <v>304.32767345253382</v>
      </c>
      <c r="CE78" s="62">
        <f t="shared" si="94"/>
        <v>427.16091343339173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-5.6843418860808015E-14</v>
      </c>
      <c r="CU78" s="18">
        <f>CT78*VLOOKUP('Données projet'!$B$13,Paramètres!$A$1:$I$89,3,0)*VLOOKUP('Données projet'!$B$13,Paramètres!$A$1:$I$89,5,0)</f>
        <v>-5.1431925385259088E-14</v>
      </c>
      <c r="CV78" s="14" t="e">
        <f t="shared" si="95"/>
        <v>#NUM!</v>
      </c>
      <c r="CW78" s="22" t="e">
        <f t="shared" si="67"/>
        <v>#NUM!</v>
      </c>
      <c r="CX78" s="62" t="e">
        <f t="shared" si="68"/>
        <v>#NUM!</v>
      </c>
      <c r="CY78" s="62">
        <f ca="1">AVERAGE(OFFSET($CX$3,0,0,'Données projet'!$E$13+1,1))-AVERAGE(OFFSET($H$3,0,0,'Données projet'!$E$13+1,1))</f>
        <v>350.06545824795847</v>
      </c>
      <c r="CZ78" s="62">
        <f t="shared" si="96"/>
        <v>513.80016421153414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312</v>
      </c>
      <c r="DM78" s="13">
        <f>VLOOKUP(A78,'Données projet'!$A$165:$I$185,9,0)</f>
        <v>7.6</v>
      </c>
      <c r="DN78" s="13">
        <f t="array" ref="DN78">INDEX(DM:DM,MIN(IF(ISNUMBER(DM78:DM274),ROW(DM78:DM274),"")))</f>
        <v>7.6</v>
      </c>
      <c r="DO78" s="13">
        <f>IF('Données projet'!$A$166&gt;35,DO77+DN78-DW77,IF(A78&lt;'Données projet'!$A$166,$DL$205^A78,IF(A78='Données projet'!$A$166,'Données projet'!$B$166,DO77+DN78-DW77)))</f>
        <v>312.00000000000006</v>
      </c>
      <c r="DP78" s="18">
        <f>DO78*VLOOKUP('Données projet'!$B$14,Paramètres!$A$1:$I$89,3,0)*VLOOKUP('Données projet'!$B$14,Paramètres!$A$1:$I$89,5,0)</f>
        <v>248.22720000000007</v>
      </c>
      <c r="DQ78" s="14">
        <f t="shared" si="97"/>
        <v>60.20616532763993</v>
      </c>
      <c r="DR78" s="22">
        <f t="shared" si="70"/>
        <v>537.188111278973</v>
      </c>
      <c r="DS78" s="62">
        <f t="shared" si="71"/>
        <v>830.52144461230637</v>
      </c>
      <c r="DT78" s="62">
        <f ca="1">AVERAGE(OFFSET($DS$3,0,0,'Données projet'!$E$14+1,1))-AVERAGE(OFFSET($H$3,0,0,'Données projet'!$E$14+1,1))</f>
        <v>382.14353215900121</v>
      </c>
      <c r="DU78" s="62">
        <f t="shared" si="98"/>
        <v>249.73945975250177</v>
      </c>
      <c r="DV78" s="16">
        <f>IF(ISNA(VLOOKUP(A78,'Données projet'!$A$165:$I$185,3,0)),0,VLOOKUP(A78,'Données projet'!$A$165:$I$185,3,0))</f>
        <v>12</v>
      </c>
      <c r="DW78" s="16">
        <f>IF(ISNA(VLOOKUP(A78,'Données projet'!$A$165:$I$185,4,0)),0,VLOOKUP(A78,'Données projet'!$A$165:$I$185,4,0))</f>
        <v>28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1.7306031511956035E-6</v>
      </c>
      <c r="ED78" s="24">
        <f t="shared" si="72"/>
        <v>1.7306031511956035E-6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7.2</v>
      </c>
      <c r="N79" s="14">
        <f>IF('Données projet'!$A$36&gt;35,N78+M79-V78,IF(A79&lt;'Données projet'!$A$36,$K$205^A79,IF(A79='Données projet'!$A$36,'Données projet'!$B$36,N78+M79-V78)))</f>
        <v>291.20000000000005</v>
      </c>
      <c r="O79" s="14">
        <f>N79*VLOOKUP('Données projet'!$B$9,Paramètres!$A$1:$I$89,3,0)*VLOOKUP('Données projet'!$B$9,Paramètres!$A$1:$I$89,5,0)</f>
        <v>263.47776000000005</v>
      </c>
      <c r="P79" s="14">
        <f t="shared" si="87"/>
        <v>63.46312159763346</v>
      </c>
      <c r="Q79" s="22">
        <f t="shared" si="54"/>
        <v>569.42203544921165</v>
      </c>
      <c r="R79" s="62">
        <f t="shared" si="55"/>
        <v>862.75536878254502</v>
      </c>
      <c r="S79" s="62">
        <f ca="1">AVERAGE(OFFSET($R$3,0,0,'Données projet'!$E$9+1,1))-AVERAGE(OFFSET($H$3,0,0,'Données projet'!$E$9+1,1))</f>
        <v>429.08375622925655</v>
      </c>
      <c r="T79" s="62">
        <f t="shared" si="88"/>
        <v>278.21741231699929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1.3916829603467973E-6</v>
      </c>
      <c r="AC79" s="24">
        <f t="shared" si="57"/>
        <v>1.3916829603467973E-6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7.2</v>
      </c>
      <c r="AI79" s="14">
        <f>IF('Données projet'!$A$62&gt;35,AI78+AH79-AQ78,IF(A79&lt;'Données projet'!$A$62,$AF$205^A79,IF(A79='Données projet'!$A$62,'Données projet'!$B$62,AI78+AH79-AQ78)))</f>
        <v>291.20000000000005</v>
      </c>
      <c r="AJ79" s="14">
        <f>AI79*VLOOKUP('Données projet'!$B$10,Paramètres!$A$1:$I$89,3,0)*VLOOKUP('Données projet'!$B$10,Paramètres!$A$1:$I$89,5,0)</f>
        <v>277.10592000000008</v>
      </c>
      <c r="AK79" s="14">
        <f t="shared" si="89"/>
        <v>66.355037246694323</v>
      </c>
      <c r="AL79" s="22">
        <f t="shared" si="58"/>
        <v>598.19450053799278</v>
      </c>
      <c r="AM79" s="62">
        <f t="shared" si="59"/>
        <v>891.52783387132604</v>
      </c>
      <c r="AN79" s="62">
        <f ca="1">AVERAGE(OFFSET($AM$3,0,0,'Données projet'!$E$10+1,1))-AVERAGE(OFFSET($H$3,0,0,'Données projet'!$E$10+1,1))</f>
        <v>449.16408464351673</v>
      </c>
      <c r="AO79" s="62">
        <f t="shared" si="90"/>
        <v>290.39826583283588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1.4636665617440462E-6</v>
      </c>
      <c r="AX79" s="23">
        <f t="shared" si="60"/>
        <v>1.4636665617440462E-6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7.2</v>
      </c>
      <c r="BD79" s="13">
        <f>IF('Données projet'!$A$88&gt;35,BD78+BC79-BL78,IF(A79&lt;'Données projet'!$A$88,$BA$205^A79,IF(A79='Données projet'!$A$88,'Données projet'!$B$88,BD78+BC79-BL78)))</f>
        <v>291.20000000000005</v>
      </c>
      <c r="BE79" s="14">
        <f>BD79*VLOOKUP('Données projet'!$B$11,Paramètres!$A$1:$I$89,3,0)*VLOOKUP('Données projet'!$B$11,Paramètres!$A$1:$I$89,5,0)</f>
        <v>281.64864000000006</v>
      </c>
      <c r="BF79" s="14">
        <f t="shared" si="91"/>
        <v>67.315294774697747</v>
      </c>
      <c r="BG79" s="22">
        <f t="shared" si="61"/>
        <v>607.77885306593191</v>
      </c>
      <c r="BH79" s="62">
        <f t="shared" si="62"/>
        <v>901.11218639926528</v>
      </c>
      <c r="BI79" s="62">
        <f ca="1">AVERAGE(OFFSET($BH$3,0,0,'Données projet'!$E$11+1,1))-AVERAGE(OFFSET($H$3,0,0,'Données projet'!$E$11+1,1))</f>
        <v>455.85294519779609</v>
      </c>
      <c r="BJ79" s="62">
        <f t="shared" si="92"/>
        <v>294.45557293177131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1.4876610955431285E-6</v>
      </c>
      <c r="BS79" s="24">
        <f t="shared" si="63"/>
        <v>1.4876610955431285E-6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5.6843418860808015E-14</v>
      </c>
      <c r="BZ79" s="14">
        <f>BY79*VLOOKUP('Données projet'!$B$12,Paramètres!$A$1:$I$89,3,0)*VLOOKUP('Données projet'!$B$12,Paramètres!$A$1:$I$89,5,0)</f>
        <v>4.9658410716801891E-14</v>
      </c>
      <c r="CA79" s="14">
        <f t="shared" si="93"/>
        <v>8.0934058173791862E-13</v>
      </c>
      <c r="CB79" s="22">
        <f t="shared" si="64"/>
        <v>1.4960899118586383E-12</v>
      </c>
      <c r="CC79" s="62">
        <f t="shared" si="65"/>
        <v>293.33333333333479</v>
      </c>
      <c r="CD79" s="62">
        <f ca="1">AVERAGE(OFFSET($CC$3,0,0,'Données projet'!$E$12+1,1))-AVERAGE(OFFSET($H$3,0,0,'Données projet'!$E$12+1,1))</f>
        <v>304.32767345253382</v>
      </c>
      <c r="CE79" s="62">
        <f t="shared" si="94"/>
        <v>427.16091343339173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-5.6843418860808015E-14</v>
      </c>
      <c r="CU79" s="18">
        <f>CT79*VLOOKUP('Données projet'!$B$13,Paramètres!$A$1:$I$89,3,0)*VLOOKUP('Données projet'!$B$13,Paramètres!$A$1:$I$89,5,0)</f>
        <v>-5.1431925385259088E-14</v>
      </c>
      <c r="CV79" s="14" t="e">
        <f t="shared" si="95"/>
        <v>#NUM!</v>
      </c>
      <c r="CW79" s="22" t="e">
        <f t="shared" si="67"/>
        <v>#NUM!</v>
      </c>
      <c r="CX79" s="62" t="e">
        <f t="shared" si="68"/>
        <v>#NUM!</v>
      </c>
      <c r="CY79" s="62">
        <f ca="1">AVERAGE(OFFSET($CX$3,0,0,'Données projet'!$E$13+1,1))-AVERAGE(OFFSET($H$3,0,0,'Données projet'!$E$13+1,1))</f>
        <v>350.06545824795847</v>
      </c>
      <c r="CZ79" s="62">
        <f t="shared" si="96"/>
        <v>513.80016421153414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7.2</v>
      </c>
      <c r="DO79" s="13">
        <f>IF('Données projet'!$A$166&gt;35,DO78+DN79-DW78,IF(A79&lt;'Données projet'!$A$166,$DL$205^A79,IF(A79='Données projet'!$A$166,'Données projet'!$B$166,DO78+DN79-DW78)))</f>
        <v>291.20000000000005</v>
      </c>
      <c r="DP79" s="18">
        <f>DO79*VLOOKUP('Données projet'!$B$14,Paramètres!$A$1:$I$89,3,0)*VLOOKUP('Données projet'!$B$14,Paramètres!$A$1:$I$89,5,0)</f>
        <v>231.67872000000006</v>
      </c>
      <c r="DQ79" s="14">
        <f t="shared" si="97"/>
        <v>56.645506271475099</v>
      </c>
      <c r="DR79" s="22">
        <f t="shared" si="70"/>
        <v>502.16469408948575</v>
      </c>
      <c r="DS79" s="62">
        <f t="shared" si="71"/>
        <v>795.49802742281906</v>
      </c>
      <c r="DT79" s="62">
        <f ca="1">AVERAGE(OFFSET($DS$3,0,0,'Données projet'!$E$14+1,1))-AVERAGE(OFFSET($H$3,0,0,'Données projet'!$E$14+1,1))</f>
        <v>382.14353215900121</v>
      </c>
      <c r="DU79" s="62">
        <f t="shared" si="98"/>
        <v>249.73945975250177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1.2237212237532192E-6</v>
      </c>
      <c r="ED79" s="24">
        <f t="shared" si="72"/>
        <v>1.2237212237532192E-6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7.2</v>
      </c>
      <c r="N80" s="14">
        <f>IF('Données projet'!$A$36&gt;35,N79+M80-V79,IF(A80&lt;'Données projet'!$A$36,$K$205^A80,IF(A80='Données projet'!$A$36,'Données projet'!$B$36,N79+M80-V79)))</f>
        <v>298.40000000000003</v>
      </c>
      <c r="O80" s="14">
        <f>N80*VLOOKUP('Données projet'!$B$9,Paramètres!$A$1:$I$89,3,0)*VLOOKUP('Données projet'!$B$9,Paramètres!$A$1:$I$89,5,0)</f>
        <v>269.99232000000001</v>
      </c>
      <c r="P80" s="14">
        <f t="shared" si="87"/>
        <v>64.847639395310296</v>
      </c>
      <c r="Q80" s="22">
        <f t="shared" si="54"/>
        <v>583.17959594683214</v>
      </c>
      <c r="R80" s="62">
        <f t="shared" si="55"/>
        <v>876.51292928016551</v>
      </c>
      <c r="S80" s="62">
        <f ca="1">AVERAGE(OFFSET($R$3,0,0,'Données projet'!$E$9+1,1))-AVERAGE(OFFSET($H$3,0,0,'Données projet'!$E$9+1,1))</f>
        <v>429.08375622925655</v>
      </c>
      <c r="T80" s="62">
        <f t="shared" si="88"/>
        <v>278.21741231699929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9.8406845852298944E-7</v>
      </c>
      <c r="AC80" s="24">
        <f t="shared" si="57"/>
        <v>9.8406845852298944E-7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7.2</v>
      </c>
      <c r="AI80" s="14">
        <f>IF('Données projet'!$A$62&gt;35,AI79+AH80-AQ79,IF(A80&lt;'Données projet'!$A$62,$AF$205^A80,IF(A80='Données projet'!$A$62,'Données projet'!$B$62,AI79+AH80-AQ79)))</f>
        <v>298.40000000000003</v>
      </c>
      <c r="AJ80" s="14">
        <f>AI80*VLOOKUP('Données projet'!$B$10,Paramètres!$A$1:$I$89,3,0)*VLOOKUP('Données projet'!$B$10,Paramètres!$A$1:$I$89,5,0)</f>
        <v>283.95744000000008</v>
      </c>
      <c r="AK80" s="14">
        <f t="shared" si="89"/>
        <v>67.802645364933795</v>
      </c>
      <c r="AL80" s="22">
        <f t="shared" si="58"/>
        <v>612.64881534392646</v>
      </c>
      <c r="AM80" s="62">
        <f t="shared" si="59"/>
        <v>905.98214867725983</v>
      </c>
      <c r="AN80" s="62">
        <f ca="1">AVERAGE(OFFSET($AM$3,0,0,'Données projet'!$E$10+1,1))-AVERAGE(OFFSET($H$3,0,0,'Données projet'!$E$10+1,1))</f>
        <v>449.16408464351673</v>
      </c>
      <c r="AO80" s="62">
        <f t="shared" si="90"/>
        <v>290.39826583283588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1.0349685512052136E-6</v>
      </c>
      <c r="AX80" s="23">
        <f t="shared" si="60"/>
        <v>1.0349685512052136E-6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7.2</v>
      </c>
      <c r="BD80" s="13">
        <f>IF('Données projet'!$A$88&gt;35,BD79+BC80-BL79,IF(A80&lt;'Données projet'!$A$88,$BA$205^A80,IF(A80='Données projet'!$A$88,'Données projet'!$B$88,BD79+BC80-BL79)))</f>
        <v>298.40000000000003</v>
      </c>
      <c r="BE80" s="14">
        <f>BD80*VLOOKUP('Données projet'!$B$11,Paramètres!$A$1:$I$89,3,0)*VLOOKUP('Données projet'!$B$11,Paramètres!$A$1:$I$89,5,0)</f>
        <v>288.61248000000001</v>
      </c>
      <c r="BF80" s="14">
        <f t="shared" si="91"/>
        <v>68.783851967051476</v>
      </c>
      <c r="BG80" s="22">
        <f t="shared" si="61"/>
        <v>622.4652781759479</v>
      </c>
      <c r="BH80" s="62">
        <f t="shared" si="62"/>
        <v>915.79861150928127</v>
      </c>
      <c r="BI80" s="62">
        <f ca="1">AVERAGE(OFFSET($BH$3,0,0,'Données projet'!$E$11+1,1))-AVERAGE(OFFSET($H$3,0,0,'Données projet'!$E$11+1,1))</f>
        <v>455.85294519779609</v>
      </c>
      <c r="BJ80" s="62">
        <f t="shared" si="92"/>
        <v>294.45557293177131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1.0519352487659545E-6</v>
      </c>
      <c r="BS80" s="24">
        <f t="shared" si="63"/>
        <v>1.0519352487659545E-6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5.6843418860808015E-14</v>
      </c>
      <c r="BZ80" s="14">
        <f>BY80*VLOOKUP('Données projet'!$B$12,Paramètres!$A$1:$I$89,3,0)*VLOOKUP('Données projet'!$B$12,Paramètres!$A$1:$I$89,5,0)</f>
        <v>4.9658410716801891E-14</v>
      </c>
      <c r="CA80" s="14">
        <f t="shared" si="93"/>
        <v>8.0934058173791862E-13</v>
      </c>
      <c r="CB80" s="22">
        <f t="shared" si="64"/>
        <v>1.4960899118586383E-12</v>
      </c>
      <c r="CC80" s="62">
        <f t="shared" si="65"/>
        <v>293.33333333333479</v>
      </c>
      <c r="CD80" s="62">
        <f ca="1">AVERAGE(OFFSET($CC$3,0,0,'Données projet'!$E$12+1,1))-AVERAGE(OFFSET($H$3,0,0,'Données projet'!$E$12+1,1))</f>
        <v>304.32767345253382</v>
      </c>
      <c r="CE80" s="62">
        <f t="shared" si="94"/>
        <v>427.16091343339173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-5.6843418860808015E-14</v>
      </c>
      <c r="CU80" s="18">
        <f>CT80*VLOOKUP('Données projet'!$B$13,Paramètres!$A$1:$I$89,3,0)*VLOOKUP('Données projet'!$B$13,Paramètres!$A$1:$I$89,5,0)</f>
        <v>-5.1431925385259088E-14</v>
      </c>
      <c r="CV80" s="14" t="e">
        <f t="shared" si="95"/>
        <v>#NUM!</v>
      </c>
      <c r="CW80" s="22" t="e">
        <f t="shared" si="67"/>
        <v>#NUM!</v>
      </c>
      <c r="CX80" s="62" t="e">
        <f t="shared" si="68"/>
        <v>#NUM!</v>
      </c>
      <c r="CY80" s="62">
        <f ca="1">AVERAGE(OFFSET($CX$3,0,0,'Données projet'!$E$13+1,1))-AVERAGE(OFFSET($H$3,0,0,'Données projet'!$E$13+1,1))</f>
        <v>350.06545824795847</v>
      </c>
      <c r="CZ80" s="62">
        <f t="shared" si="96"/>
        <v>513.80016421153414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7.2</v>
      </c>
      <c r="DO80" s="13">
        <f>IF('Données projet'!$A$166&gt;35,DO79+DN80-DW79,IF(A80&lt;'Données projet'!$A$166,$DL$205^A80,IF(A80='Données projet'!$A$166,'Données projet'!$B$166,DO79+DN80-DW79)))</f>
        <v>298.40000000000003</v>
      </c>
      <c r="DP80" s="18">
        <f>DO80*VLOOKUP('Données projet'!$B$14,Paramètres!$A$1:$I$89,3,0)*VLOOKUP('Données projet'!$B$14,Paramètres!$A$1:$I$89,5,0)</f>
        <v>237.40704000000005</v>
      </c>
      <c r="DQ80" s="14">
        <f t="shared" si="97"/>
        <v>57.881290292445691</v>
      </c>
      <c r="DR80" s="22">
        <f t="shared" si="70"/>
        <v>514.29384192600958</v>
      </c>
      <c r="DS80" s="62">
        <f t="shared" si="71"/>
        <v>807.62717525934295</v>
      </c>
      <c r="DT80" s="62">
        <f ca="1">AVERAGE(OFFSET($DS$3,0,0,'Données projet'!$E$14+1,1))-AVERAGE(OFFSET($H$3,0,0,'Données projet'!$E$14+1,1))</f>
        <v>382.14353215900121</v>
      </c>
      <c r="DU80" s="62">
        <f t="shared" si="98"/>
        <v>249.73945975250177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8.6530157559780176E-7</v>
      </c>
      <c r="ED80" s="24">
        <f t="shared" si="72"/>
        <v>8.6530157559780176E-7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7.2</v>
      </c>
      <c r="N81" s="14">
        <f>IF('Données projet'!$A$36&gt;35,N80+M81-V80,IF(A81&lt;'Données projet'!$A$36,$K$205^A81,IF(A81='Données projet'!$A$36,'Données projet'!$B$36,N80+M81-V80)))</f>
        <v>305.60000000000002</v>
      </c>
      <c r="O81" s="14">
        <f>N81*VLOOKUP('Données projet'!$B$9,Paramètres!$A$1:$I$89,3,0)*VLOOKUP('Données projet'!$B$9,Paramètres!$A$1:$I$89,5,0)</f>
        <v>276.50687999999997</v>
      </c>
      <c r="P81" s="14">
        <f t="shared" si="87"/>
        <v>66.228273722513677</v>
      </c>
      <c r="Q81" s="22">
        <f t="shared" si="54"/>
        <v>596.93039273337797</v>
      </c>
      <c r="R81" s="62">
        <f t="shared" si="55"/>
        <v>890.26372606671134</v>
      </c>
      <c r="S81" s="62">
        <f ca="1">AVERAGE(OFFSET($R$3,0,0,'Données projet'!$E$9+1,1))-AVERAGE(OFFSET($H$3,0,0,'Données projet'!$E$9+1,1))</f>
        <v>429.08375622925655</v>
      </c>
      <c r="T81" s="62">
        <f t="shared" si="88"/>
        <v>278.21741231699929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6.9584148017339864E-7</v>
      </c>
      <c r="AC81" s="24">
        <f t="shared" si="57"/>
        <v>6.9584148017339864E-7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7.2</v>
      </c>
      <c r="AI81" s="14">
        <f>IF('Données projet'!$A$62&gt;35,AI80+AH81-AQ80,IF(A81&lt;'Données projet'!$A$62,$AF$205^A81,IF(A81='Données projet'!$A$62,'Données projet'!$B$62,AI80+AH81-AQ80)))</f>
        <v>305.60000000000002</v>
      </c>
      <c r="AJ81" s="14">
        <f>AI81*VLOOKUP('Données projet'!$B$10,Paramètres!$A$1:$I$89,3,0)*VLOOKUP('Données projet'!$B$10,Paramètres!$A$1:$I$89,5,0)</f>
        <v>290.80896000000001</v>
      </c>
      <c r="AK81" s="14">
        <f t="shared" si="89"/>
        <v>69.246193048996375</v>
      </c>
      <c r="AL81" s="22">
        <f t="shared" si="58"/>
        <v>627.096058227002</v>
      </c>
      <c r="AM81" s="62">
        <f t="shared" si="59"/>
        <v>920.42939156033526</v>
      </c>
      <c r="AN81" s="62">
        <f ca="1">AVERAGE(OFFSET($AM$3,0,0,'Données projet'!$E$10+1,1))-AVERAGE(OFFSET($H$3,0,0,'Données projet'!$E$10+1,1))</f>
        <v>449.16408464351673</v>
      </c>
      <c r="AO81" s="62">
        <f t="shared" si="90"/>
        <v>290.39826583283588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7.3183328087202312E-7</v>
      </c>
      <c r="AX81" s="23">
        <f t="shared" si="60"/>
        <v>7.3183328087202312E-7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7.2</v>
      </c>
      <c r="BD81" s="13">
        <f>IF('Données projet'!$A$88&gt;35,BD80+BC81-BL80,IF(A81&lt;'Données projet'!$A$88,$BA$205^A81,IF(A81='Données projet'!$A$88,'Données projet'!$B$88,BD80+BC81-BL80)))</f>
        <v>305.60000000000002</v>
      </c>
      <c r="BE81" s="14">
        <f>BD81*VLOOKUP('Données projet'!$B$11,Paramètres!$A$1:$I$89,3,0)*VLOOKUP('Données projet'!$B$11,Paramètres!$A$1:$I$89,5,0)</f>
        <v>295.57632000000001</v>
      </c>
      <c r="BF81" s="14">
        <f t="shared" si="91"/>
        <v>70.24828996461811</v>
      </c>
      <c r="BG81" s="22">
        <f t="shared" si="61"/>
        <v>637.1445290217099</v>
      </c>
      <c r="BH81" s="62">
        <f t="shared" si="62"/>
        <v>930.47786235504327</v>
      </c>
      <c r="BI81" s="62">
        <f ca="1">AVERAGE(OFFSET($BH$3,0,0,'Données projet'!$E$11+1,1))-AVERAGE(OFFSET($H$3,0,0,'Données projet'!$E$11+1,1))</f>
        <v>455.85294519779609</v>
      </c>
      <c r="BJ81" s="62">
        <f t="shared" si="92"/>
        <v>294.45557293177131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7.4383054777156425E-7</v>
      </c>
      <c r="BS81" s="24">
        <f t="shared" si="63"/>
        <v>7.4383054777156425E-7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5.6843418860808015E-14</v>
      </c>
      <c r="BZ81" s="14">
        <f>BY81*VLOOKUP('Données projet'!$B$12,Paramètres!$A$1:$I$89,3,0)*VLOOKUP('Données projet'!$B$12,Paramètres!$A$1:$I$89,5,0)</f>
        <v>4.9658410716801891E-14</v>
      </c>
      <c r="CA81" s="14">
        <f t="shared" si="93"/>
        <v>8.0934058173791862E-13</v>
      </c>
      <c r="CB81" s="22">
        <f t="shared" si="64"/>
        <v>1.4960899118586383E-12</v>
      </c>
      <c r="CC81" s="62">
        <f t="shared" si="65"/>
        <v>293.33333333333479</v>
      </c>
      <c r="CD81" s="62">
        <f ca="1">AVERAGE(OFFSET($CC$3,0,0,'Données projet'!$E$12+1,1))-AVERAGE(OFFSET($H$3,0,0,'Données projet'!$E$12+1,1))</f>
        <v>304.32767345253382</v>
      </c>
      <c r="CE81" s="62">
        <f t="shared" si="94"/>
        <v>427.16091343339173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-5.6843418860808015E-14</v>
      </c>
      <c r="CU81" s="18">
        <f>CT81*VLOOKUP('Données projet'!$B$13,Paramètres!$A$1:$I$89,3,0)*VLOOKUP('Données projet'!$B$13,Paramètres!$A$1:$I$89,5,0)</f>
        <v>-5.1431925385259088E-14</v>
      </c>
      <c r="CV81" s="14" t="e">
        <f t="shared" si="95"/>
        <v>#NUM!</v>
      </c>
      <c r="CW81" s="22" t="e">
        <f t="shared" si="67"/>
        <v>#NUM!</v>
      </c>
      <c r="CX81" s="62" t="e">
        <f t="shared" si="68"/>
        <v>#NUM!</v>
      </c>
      <c r="CY81" s="62">
        <f ca="1">AVERAGE(OFFSET($CX$3,0,0,'Données projet'!$E$13+1,1))-AVERAGE(OFFSET($H$3,0,0,'Données projet'!$E$13+1,1))</f>
        <v>350.06545824795847</v>
      </c>
      <c r="CZ81" s="62">
        <f t="shared" si="96"/>
        <v>513.80016421153414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7.2</v>
      </c>
      <c r="DO81" s="13">
        <f>IF('Données projet'!$A$166&gt;35,DO80+DN81-DW80,IF(A81&lt;'Données projet'!$A$166,$DL$205^A81,IF(A81='Données projet'!$A$166,'Données projet'!$B$166,DO80+DN81-DW80)))</f>
        <v>305.60000000000002</v>
      </c>
      <c r="DP81" s="18">
        <f>DO81*VLOOKUP('Données projet'!$B$14,Paramètres!$A$1:$I$89,3,0)*VLOOKUP('Données projet'!$B$14,Paramètres!$A$1:$I$89,5,0)</f>
        <v>243.13536000000005</v>
      </c>
      <c r="DQ81" s="14">
        <f t="shared" si="97"/>
        <v>59.113608030234566</v>
      </c>
      <c r="DR81" s="22">
        <f t="shared" si="70"/>
        <v>526.41695265265855</v>
      </c>
      <c r="DS81" s="62">
        <f t="shared" si="71"/>
        <v>819.75028598599192</v>
      </c>
      <c r="DT81" s="62">
        <f ca="1">AVERAGE(OFFSET($DS$3,0,0,'Données projet'!$E$14+1,1))-AVERAGE(OFFSET($H$3,0,0,'Données projet'!$E$14+1,1))</f>
        <v>382.14353215900121</v>
      </c>
      <c r="DU81" s="62">
        <f t="shared" si="98"/>
        <v>249.73945975250177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6.1186061187660961E-7</v>
      </c>
      <c r="ED81" s="24">
        <f t="shared" si="72"/>
        <v>6.1186061187660961E-7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7.2</v>
      </c>
      <c r="N82" s="14">
        <f>IF('Données projet'!$A$36&gt;35,N81+M82-V81,IF(A82&lt;'Données projet'!$A$36,$K$205^A82,IF(A82='Données projet'!$A$36,'Données projet'!$B$36,N81+M82-V81)))</f>
        <v>312.8</v>
      </c>
      <c r="O82" s="14">
        <f>N82*VLOOKUP('Données projet'!$B$9,Paramètres!$A$1:$I$89,3,0)*VLOOKUP('Données projet'!$B$9,Paramètres!$A$1:$I$89,5,0)</f>
        <v>283.02144000000004</v>
      </c>
      <c r="P82" s="14">
        <f t="shared" si="87"/>
        <v>67.605126603830598</v>
      </c>
      <c r="Q82" s="22">
        <f t="shared" si="54"/>
        <v>610.67460350167164</v>
      </c>
      <c r="R82" s="62">
        <f t="shared" si="55"/>
        <v>904.00793683500501</v>
      </c>
      <c r="S82" s="62">
        <f ca="1">AVERAGE(OFFSET($R$3,0,0,'Données projet'!$E$9+1,1))-AVERAGE(OFFSET($H$3,0,0,'Données projet'!$E$9+1,1))</f>
        <v>429.08375622925655</v>
      </c>
      <c r="T82" s="62">
        <f t="shared" si="88"/>
        <v>278.21741231699929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4.9203422926149472E-7</v>
      </c>
      <c r="AC82" s="24">
        <f t="shared" si="57"/>
        <v>4.9203422926149472E-7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7.2</v>
      </c>
      <c r="AI82" s="14">
        <f>IF('Données projet'!$A$62&gt;35,AI81+AH82-AQ81,IF(A82&lt;'Données projet'!$A$62,$AF$205^A82,IF(A82='Données projet'!$A$62,'Données projet'!$B$62,AI81+AH82-AQ81)))</f>
        <v>312.8</v>
      </c>
      <c r="AJ82" s="14">
        <f>AI82*VLOOKUP('Données projet'!$B$10,Paramètres!$A$1:$I$89,3,0)*VLOOKUP('Données projet'!$B$10,Paramètres!$A$1:$I$89,5,0)</f>
        <v>297.66048000000001</v>
      </c>
      <c r="AK82" s="14">
        <f t="shared" si="89"/>
        <v>70.685786972570611</v>
      </c>
      <c r="AL82" s="22">
        <f t="shared" si="58"/>
        <v>641.53641497722708</v>
      </c>
      <c r="AM82" s="62">
        <f t="shared" si="59"/>
        <v>934.86974831056045</v>
      </c>
      <c r="AN82" s="62">
        <f ca="1">AVERAGE(OFFSET($AM$3,0,0,'Données projet'!$E$10+1,1))-AVERAGE(OFFSET($H$3,0,0,'Données projet'!$E$10+1,1))</f>
        <v>449.16408464351673</v>
      </c>
      <c r="AO82" s="62">
        <f t="shared" si="90"/>
        <v>290.39826583283588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5.1748427560260682E-7</v>
      </c>
      <c r="AX82" s="23">
        <f t="shared" si="60"/>
        <v>5.1748427560260682E-7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7.2</v>
      </c>
      <c r="BD82" s="13">
        <f>IF('Données projet'!$A$88&gt;35,BD81+BC82-BL81,IF(A82&lt;'Données projet'!$A$88,$BA$205^A82,IF(A82='Données projet'!$A$88,'Données projet'!$B$88,BD81+BC82-BL81)))</f>
        <v>312.8</v>
      </c>
      <c r="BE82" s="14">
        <f>BD82*VLOOKUP('Données projet'!$B$11,Paramètres!$A$1:$I$89,3,0)*VLOOKUP('Données projet'!$B$11,Paramètres!$A$1:$I$89,5,0)</f>
        <v>302.54016000000001</v>
      </c>
      <c r="BF82" s="14">
        <f t="shared" si="91"/>
        <v>71.708716984815311</v>
      </c>
      <c r="BG82" s="22">
        <f t="shared" si="61"/>
        <v>651.81679408188654</v>
      </c>
      <c r="BH82" s="62">
        <f t="shared" si="62"/>
        <v>945.15012741521991</v>
      </c>
      <c r="BI82" s="62">
        <f ca="1">AVERAGE(OFFSET($BH$3,0,0,'Données projet'!$E$11+1,1))-AVERAGE(OFFSET($H$3,0,0,'Données projet'!$E$11+1,1))</f>
        <v>455.85294519779609</v>
      </c>
      <c r="BJ82" s="62">
        <f t="shared" si="92"/>
        <v>294.45557293177131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5.2596762438297727E-7</v>
      </c>
      <c r="BS82" s="24">
        <f t="shared" si="63"/>
        <v>5.2596762438297727E-7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5.6843418860808015E-14</v>
      </c>
      <c r="BZ82" s="14">
        <f>BY82*VLOOKUP('Données projet'!$B$12,Paramètres!$A$1:$I$89,3,0)*VLOOKUP('Données projet'!$B$12,Paramètres!$A$1:$I$89,5,0)</f>
        <v>4.9658410716801891E-14</v>
      </c>
      <c r="CA82" s="14">
        <f t="shared" si="93"/>
        <v>8.0934058173791862E-13</v>
      </c>
      <c r="CB82" s="22">
        <f t="shared" si="64"/>
        <v>1.4960899118586383E-12</v>
      </c>
      <c r="CC82" s="62">
        <f t="shared" si="65"/>
        <v>293.33333333333479</v>
      </c>
      <c r="CD82" s="62">
        <f ca="1">AVERAGE(OFFSET($CC$3,0,0,'Données projet'!$E$12+1,1))-AVERAGE(OFFSET($H$3,0,0,'Données projet'!$E$12+1,1))</f>
        <v>304.32767345253382</v>
      </c>
      <c r="CE82" s="62">
        <f t="shared" si="94"/>
        <v>427.16091343339173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-5.6843418860808015E-14</v>
      </c>
      <c r="CU82" s="18">
        <f>CT82*VLOOKUP('Données projet'!$B$13,Paramètres!$A$1:$I$89,3,0)*VLOOKUP('Données projet'!$B$13,Paramètres!$A$1:$I$89,5,0)</f>
        <v>-5.1431925385259088E-14</v>
      </c>
      <c r="CV82" s="14" t="e">
        <f t="shared" si="95"/>
        <v>#NUM!</v>
      </c>
      <c r="CW82" s="22" t="e">
        <f t="shared" si="67"/>
        <v>#NUM!</v>
      </c>
      <c r="CX82" s="62" t="e">
        <f t="shared" si="68"/>
        <v>#NUM!</v>
      </c>
      <c r="CY82" s="62">
        <f ca="1">AVERAGE(OFFSET($CX$3,0,0,'Données projet'!$E$13+1,1))-AVERAGE(OFFSET($H$3,0,0,'Données projet'!$E$13+1,1))</f>
        <v>350.06545824795847</v>
      </c>
      <c r="CZ82" s="62">
        <f t="shared" si="96"/>
        <v>513.80016421153414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7.2</v>
      </c>
      <c r="DO82" s="13">
        <f>IF('Données projet'!$A$166&gt;35,DO81+DN82-DW81,IF(A82&lt;'Données projet'!$A$166,$DL$205^A82,IF(A82='Données projet'!$A$166,'Données projet'!$B$166,DO81+DN82-DW81)))</f>
        <v>312.8</v>
      </c>
      <c r="DP82" s="18">
        <f>DO82*VLOOKUP('Données projet'!$B$14,Paramètres!$A$1:$I$89,3,0)*VLOOKUP('Données projet'!$B$14,Paramètres!$A$1:$I$89,5,0)</f>
        <v>248.86368000000004</v>
      </c>
      <c r="DQ82" s="14">
        <f t="shared" si="97"/>
        <v>60.342550549293456</v>
      </c>
      <c r="DR82" s="22">
        <f t="shared" si="70"/>
        <v>538.53418487335273</v>
      </c>
      <c r="DS82" s="62">
        <f t="shared" si="71"/>
        <v>831.8675182066861</v>
      </c>
      <c r="DT82" s="62">
        <f ca="1">AVERAGE(OFFSET($DS$3,0,0,'Données projet'!$E$14+1,1))-AVERAGE(OFFSET($H$3,0,0,'Données projet'!$E$14+1,1))</f>
        <v>382.14353215900121</v>
      </c>
      <c r="DU82" s="62">
        <f t="shared" si="98"/>
        <v>249.73945975250177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4.3265078779890088E-7</v>
      </c>
      <c r="ED82" s="24">
        <f t="shared" si="72"/>
        <v>4.3265078779890088E-7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320</v>
      </c>
      <c r="L83" s="13">
        <f>VLOOKUP(A83,'Données projet'!$A$35:$I$55,9,0)</f>
        <v>7.2</v>
      </c>
      <c r="M83" s="13">
        <f t="array" ref="M83">INDEX(L:L,MIN(IF(ISNUMBER(L83:L279),ROW(L83:L279),"")))</f>
        <v>7.2</v>
      </c>
      <c r="N83" s="14">
        <f>IF('Données projet'!$A$36&gt;35,N82+M83-V82,IF(A83&lt;'Données projet'!$A$36,$K$205^A83,IF(A83='Données projet'!$A$36,'Données projet'!$B$36,N82+M83-V82)))</f>
        <v>320</v>
      </c>
      <c r="O83" s="14">
        <f>N83*VLOOKUP('Données projet'!$B$9,Paramètres!$A$1:$I$89,3,0)*VLOOKUP('Données projet'!$B$9,Paramètres!$A$1:$I$89,5,0)</f>
        <v>289.536</v>
      </c>
      <c r="P83" s="14">
        <f t="shared" si="87"/>
        <v>68.97829509904436</v>
      </c>
      <c r="Q83" s="22">
        <f t="shared" si="54"/>
        <v>624.41239729750225</v>
      </c>
      <c r="R83" s="62">
        <f t="shared" si="55"/>
        <v>917.74573063083562</v>
      </c>
      <c r="S83" s="62">
        <f ca="1">AVERAGE(OFFSET($R$3,0,0,'Données projet'!$E$9+1,1))-AVERAGE(OFFSET($H$3,0,0,'Données projet'!$E$9+1,1))</f>
        <v>429.08375622925655</v>
      </c>
      <c r="T83" s="62">
        <f t="shared" si="88"/>
        <v>278.21741231699929</v>
      </c>
      <c r="U83" s="16">
        <f>IF(ISNA(VLOOKUP(A83,'Données projet'!$A$35:$I$55,3,0)),0,VLOOKUP(A83,'Données projet'!$A$35:$I$55,3,0))</f>
        <v>13</v>
      </c>
      <c r="V83" s="16">
        <f>IF(ISNA(VLOOKUP(A83,'Données projet'!$A$35:$I$55,4,0)),0,VLOOKUP(A83,'Données projet'!$A$35:$I$55,4,0))</f>
        <v>28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3.4792074008669932E-7</v>
      </c>
      <c r="AC83" s="24">
        <f t="shared" si="57"/>
        <v>3.4792074008669932E-7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320</v>
      </c>
      <c r="AG83" s="13">
        <f>VLOOKUP(A83,'Données projet'!$A$61:$I$81,9,0)</f>
        <v>7.2</v>
      </c>
      <c r="AH83" s="13">
        <f t="array" ref="AH83">INDEX(AG:AG,MIN(IF(ISNUMBER(AG83:AG279),ROW(AG83:AG279),"")))</f>
        <v>7.2</v>
      </c>
      <c r="AI83" s="14">
        <f>IF('Données projet'!$A$62&gt;35,AI82+AH83-AQ82,IF(A83&lt;'Données projet'!$A$62,$AF$205^A83,IF(A83='Données projet'!$A$62,'Données projet'!$B$62,AI82+AH83-AQ82)))</f>
        <v>320</v>
      </c>
      <c r="AJ83" s="14">
        <f>AI83*VLOOKUP('Données projet'!$B$10,Paramètres!$A$1:$I$89,3,0)*VLOOKUP('Données projet'!$B$10,Paramètres!$A$1:$I$89,5,0)</f>
        <v>304.512</v>
      </c>
      <c r="AK83" s="14">
        <f t="shared" si="89"/>
        <v>72.121528618302861</v>
      </c>
      <c r="AL83" s="22">
        <f t="shared" si="58"/>
        <v>655.97006234354421</v>
      </c>
      <c r="AM83" s="62">
        <f t="shared" si="59"/>
        <v>949.30339567687747</v>
      </c>
      <c r="AN83" s="62">
        <f ca="1">AVERAGE(OFFSET($AM$3,0,0,'Données projet'!$E$10+1,1))-AVERAGE(OFFSET($H$3,0,0,'Données projet'!$E$10+1,1))</f>
        <v>449.16408464351673</v>
      </c>
      <c r="AO83" s="62">
        <f t="shared" si="90"/>
        <v>290.39826583283588</v>
      </c>
      <c r="AP83" s="16">
        <f>IF(ISNA(VLOOKUP(A83,'Données projet'!$A$61:$I$81,3,0)),0,VLOOKUP(A83,'Données projet'!$A$61:$I$81,3,0))</f>
        <v>13</v>
      </c>
      <c r="AQ83" s="16">
        <f>IF(ISNA(VLOOKUP(A83,'Données projet'!$A$61:$I$81,4,0)),0,VLOOKUP(A83,'Données projet'!$A$61:$I$81,4,0))</f>
        <v>28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3.6591664043601156E-7</v>
      </c>
      <c r="AX83" s="23">
        <f t="shared" si="60"/>
        <v>3.6591664043601156E-7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320</v>
      </c>
      <c r="BB83" s="13">
        <f>VLOOKUP(A83,'Données projet'!$A$87:$I$107,9,0)</f>
        <v>7.2</v>
      </c>
      <c r="BC83" s="13">
        <f t="array" ref="BC83">INDEX(BB:BB,MIN(IF(ISNUMBER(BB83:BB279),ROW(BB83:BB279),"")))</f>
        <v>7.2</v>
      </c>
      <c r="BD83" s="13">
        <f>IF('Données projet'!$A$88&gt;35,BD82+BC83-BL82,IF(A83&lt;'Données projet'!$A$88,$BA$205^A83,IF(A83='Données projet'!$A$88,'Données projet'!$B$88,BD82+BC83-BL82)))</f>
        <v>320</v>
      </c>
      <c r="BE83" s="14">
        <f>BD83*VLOOKUP('Données projet'!$B$11,Paramètres!$A$1:$I$89,3,0)*VLOOKUP('Données projet'!$B$11,Paramètres!$A$1:$I$89,5,0)</f>
        <v>309.50400000000002</v>
      </c>
      <c r="BF83" s="14">
        <f t="shared" si="91"/>
        <v>73.165235978896504</v>
      </c>
      <c r="BG83" s="22">
        <f t="shared" si="61"/>
        <v>666.48225266324471</v>
      </c>
      <c r="BH83" s="62">
        <f t="shared" si="62"/>
        <v>959.81558599657797</v>
      </c>
      <c r="BI83" s="62">
        <f ca="1">AVERAGE(OFFSET($BH$3,0,0,'Données projet'!$E$11+1,1))-AVERAGE(OFFSET($H$3,0,0,'Données projet'!$E$11+1,1))</f>
        <v>455.85294519779609</v>
      </c>
      <c r="BJ83" s="62">
        <f t="shared" si="92"/>
        <v>294.45557293177131</v>
      </c>
      <c r="BK83" s="16">
        <f>IF(ISNA(VLOOKUP(A83,'Données projet'!$A$87:$I$107,3,0)),0,VLOOKUP(A83,'Données projet'!$A$87:$I$107,3,0))</f>
        <v>13</v>
      </c>
      <c r="BL83" s="23">
        <f>IF(ISNA(VLOOKUP(A83,'Données projet'!$A$87:$I$107,4,0)),0,VLOOKUP(A83,'Données projet'!$A$87:$I$107,4,0))</f>
        <v>28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3.7191527388578213E-7</v>
      </c>
      <c r="BS83" s="24">
        <f t="shared" si="63"/>
        <v>3.7191527388578213E-7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5.6843418860808015E-14</v>
      </c>
      <c r="BZ83" s="14">
        <f>BY83*VLOOKUP('Données projet'!$B$12,Paramètres!$A$1:$I$89,3,0)*VLOOKUP('Données projet'!$B$12,Paramètres!$A$1:$I$89,5,0)</f>
        <v>4.9658410716801891E-14</v>
      </c>
      <c r="CA83" s="14">
        <f t="shared" si="93"/>
        <v>8.0934058173791862E-13</v>
      </c>
      <c r="CB83" s="22">
        <f t="shared" si="64"/>
        <v>1.4960899118586383E-12</v>
      </c>
      <c r="CC83" s="62">
        <f t="shared" si="65"/>
        <v>293.33333333333479</v>
      </c>
      <c r="CD83" s="62">
        <f ca="1">AVERAGE(OFFSET($CC$3,0,0,'Données projet'!$E$12+1,1))-AVERAGE(OFFSET($H$3,0,0,'Données projet'!$E$12+1,1))</f>
        <v>304.32767345253382</v>
      </c>
      <c r="CE83" s="62">
        <f t="shared" si="94"/>
        <v>427.16091343339173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-5.6843418860808015E-14</v>
      </c>
      <c r="CU83" s="18">
        <f>CT83*VLOOKUP('Données projet'!$B$13,Paramètres!$A$1:$I$89,3,0)*VLOOKUP('Données projet'!$B$13,Paramètres!$A$1:$I$89,5,0)</f>
        <v>-5.1431925385259088E-14</v>
      </c>
      <c r="CV83" s="14" t="e">
        <f t="shared" si="95"/>
        <v>#NUM!</v>
      </c>
      <c r="CW83" s="22" t="e">
        <f t="shared" si="67"/>
        <v>#NUM!</v>
      </c>
      <c r="CX83" s="62" t="e">
        <f t="shared" si="68"/>
        <v>#NUM!</v>
      </c>
      <c r="CY83" s="62">
        <f ca="1">AVERAGE(OFFSET($CX$3,0,0,'Données projet'!$E$13+1,1))-AVERAGE(OFFSET($H$3,0,0,'Données projet'!$E$13+1,1))</f>
        <v>350.06545824795847</v>
      </c>
      <c r="CZ83" s="62">
        <f t="shared" si="96"/>
        <v>513.80016421153414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320</v>
      </c>
      <c r="DM83" s="13">
        <f>VLOOKUP(A83,'Données projet'!$A$165:$I$185,9,0)</f>
        <v>7.2</v>
      </c>
      <c r="DN83" s="13">
        <f t="array" ref="DN83">INDEX(DM:DM,MIN(IF(ISNUMBER(DM83:DM279),ROW(DM83:DM279),"")))</f>
        <v>7.2</v>
      </c>
      <c r="DO83" s="13">
        <f>IF('Données projet'!$A$166&gt;35,DO82+DN83-DW82,IF(A83&lt;'Données projet'!$A$166,$DL$205^A83,IF(A83='Données projet'!$A$166,'Données projet'!$B$166,DO82+DN83-DW82)))</f>
        <v>320</v>
      </c>
      <c r="DP83" s="18">
        <f>DO83*VLOOKUP('Données projet'!$B$14,Paramètres!$A$1:$I$89,3,0)*VLOOKUP('Données projet'!$B$14,Paramètres!$A$1:$I$89,5,0)</f>
        <v>254.59199999999998</v>
      </c>
      <c r="DQ83" s="14">
        <f t="shared" si="97"/>
        <v>61.568204482621567</v>
      </c>
      <c r="DR83" s="22">
        <f t="shared" si="70"/>
        <v>550.64568947389932</v>
      </c>
      <c r="DS83" s="62">
        <f t="shared" si="71"/>
        <v>843.9790228072327</v>
      </c>
      <c r="DT83" s="62">
        <f ca="1">AVERAGE(OFFSET($DS$3,0,0,'Données projet'!$E$14+1,1))-AVERAGE(OFFSET($H$3,0,0,'Données projet'!$E$14+1,1))</f>
        <v>382.14353215900121</v>
      </c>
      <c r="DU83" s="62">
        <f t="shared" si="98"/>
        <v>249.73945975250177</v>
      </c>
      <c r="DV83" s="16">
        <f>IF(ISNA(VLOOKUP(A83,'Données projet'!$A$165:$I$185,3,0)),0,VLOOKUP(A83,'Données projet'!$A$165:$I$185,3,0))</f>
        <v>13</v>
      </c>
      <c r="DW83" s="16">
        <f>IF(ISNA(VLOOKUP(A83,'Données projet'!$A$165:$I$185,4,0)),0,VLOOKUP(A83,'Données projet'!$A$165:$I$185,4,0))</f>
        <v>28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3.0593030593830481E-7</v>
      </c>
      <c r="ED83" s="24">
        <f t="shared" si="72"/>
        <v>3.0593030593830481E-7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6.8</v>
      </c>
      <c r="N84" s="14">
        <f>IF('Données projet'!$A$36&gt;35,N83+M84-V83,IF(A84&lt;'Données projet'!$A$36,$K$205^A84,IF(A84='Données projet'!$A$36,'Données projet'!$B$36,N83+M84-V83)))</f>
        <v>298.8</v>
      </c>
      <c r="O84" s="14">
        <f>N84*VLOOKUP('Données projet'!$B$9,Paramètres!$A$1:$I$89,3,0)*VLOOKUP('Données projet'!$B$9,Paramètres!$A$1:$I$89,5,0)</f>
        <v>270.35424</v>
      </c>
      <c r="P84" s="14">
        <f t="shared" si="87"/>
        <v>64.924442218534367</v>
      </c>
      <c r="Q84" s="22">
        <f t="shared" si="54"/>
        <v>583.94370486394735</v>
      </c>
      <c r="R84" s="62">
        <f t="shared" si="55"/>
        <v>877.27703819728072</v>
      </c>
      <c r="S84" s="62">
        <f ca="1">AVERAGE(OFFSET($R$3,0,0,'Données projet'!$E$9+1,1))-AVERAGE(OFFSET($H$3,0,0,'Données projet'!$E$9+1,1))</f>
        <v>429.08375622925655</v>
      </c>
      <c r="T84" s="62">
        <f t="shared" si="88"/>
        <v>278.21741231699929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2.4601711463074736E-7</v>
      </c>
      <c r="AC84" s="24">
        <f t="shared" si="57"/>
        <v>2.4601711463074736E-7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6.8</v>
      </c>
      <c r="AI84" s="14">
        <f>IF('Données projet'!$A$62&gt;35,AI83+AH84-AQ83,IF(A84&lt;'Données projet'!$A$62,$AF$205^A84,IF(A84='Données projet'!$A$62,'Données projet'!$B$62,AI83+AH84-AQ83)))</f>
        <v>298.8</v>
      </c>
      <c r="AJ84" s="14">
        <f>AI84*VLOOKUP('Données projet'!$B$10,Paramètres!$A$1:$I$89,3,0)*VLOOKUP('Données projet'!$B$10,Paramètres!$A$1:$I$89,5,0)</f>
        <v>284.33807999999999</v>
      </c>
      <c r="AK84" s="14">
        <f t="shared" si="89"/>
        <v>67.882947973242224</v>
      </c>
      <c r="AL84" s="22">
        <f t="shared" si="58"/>
        <v>613.45162372006337</v>
      </c>
      <c r="AM84" s="62">
        <f t="shared" si="59"/>
        <v>906.78495705339674</v>
      </c>
      <c r="AN84" s="62">
        <f ca="1">AVERAGE(OFFSET($AM$3,0,0,'Données projet'!$E$10+1,1))-AVERAGE(OFFSET($H$3,0,0,'Données projet'!$E$10+1,1))</f>
        <v>449.16408464351673</v>
      </c>
      <c r="AO84" s="62">
        <f t="shared" si="90"/>
        <v>290.39826583283588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2.5874213780130341E-7</v>
      </c>
      <c r="AX84" s="23">
        <f t="shared" si="60"/>
        <v>2.5874213780130341E-7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6.8</v>
      </c>
      <c r="BD84" s="13">
        <f>IF('Données projet'!$A$88&gt;35,BD83+BC84-BL83,IF(A84&lt;'Données projet'!$A$88,$BA$205^A84,IF(A84='Données projet'!$A$88,'Données projet'!$B$88,BD83+BC84-BL83)))</f>
        <v>298.8</v>
      </c>
      <c r="BE84" s="14">
        <f>BD84*VLOOKUP('Données projet'!$B$11,Paramètres!$A$1:$I$89,3,0)*VLOOKUP('Données projet'!$B$11,Paramètres!$A$1:$I$89,5,0)</f>
        <v>288.99936000000002</v>
      </c>
      <c r="BF84" s="14">
        <f t="shared" si="91"/>
        <v>68.86531667529006</v>
      </c>
      <c r="BG84" s="22">
        <f t="shared" si="61"/>
        <v>623.2809785427969</v>
      </c>
      <c r="BH84" s="62">
        <f t="shared" si="62"/>
        <v>916.61431187613016</v>
      </c>
      <c r="BI84" s="62">
        <f ca="1">AVERAGE(OFFSET($BH$3,0,0,'Données projet'!$E$11+1,1))-AVERAGE(OFFSET($H$3,0,0,'Données projet'!$E$11+1,1))</f>
        <v>455.85294519779609</v>
      </c>
      <c r="BJ84" s="62">
        <f t="shared" si="92"/>
        <v>294.45557293177131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2.6298381219148863E-7</v>
      </c>
      <c r="BS84" s="24">
        <f t="shared" si="63"/>
        <v>2.6298381219148863E-7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5.6843418860808015E-14</v>
      </c>
      <c r="BZ84" s="14">
        <f>BY84*VLOOKUP('Données projet'!$B$12,Paramètres!$A$1:$I$89,3,0)*VLOOKUP('Données projet'!$B$12,Paramètres!$A$1:$I$89,5,0)</f>
        <v>4.9658410716801891E-14</v>
      </c>
      <c r="CA84" s="14">
        <f t="shared" si="93"/>
        <v>8.0934058173791862E-13</v>
      </c>
      <c r="CB84" s="22">
        <f t="shared" si="64"/>
        <v>1.4960899118586383E-12</v>
      </c>
      <c r="CC84" s="62">
        <f t="shared" si="65"/>
        <v>293.33333333333479</v>
      </c>
      <c r="CD84" s="62">
        <f ca="1">AVERAGE(OFFSET($CC$3,0,0,'Données projet'!$E$12+1,1))-AVERAGE(OFFSET($H$3,0,0,'Données projet'!$E$12+1,1))</f>
        <v>304.32767345253382</v>
      </c>
      <c r="CE84" s="62">
        <f t="shared" si="94"/>
        <v>427.16091343339173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-5.6843418860808015E-14</v>
      </c>
      <c r="CU84" s="18">
        <f>CT84*VLOOKUP('Données projet'!$B$13,Paramètres!$A$1:$I$89,3,0)*VLOOKUP('Données projet'!$B$13,Paramètres!$A$1:$I$89,5,0)</f>
        <v>-5.1431925385259088E-14</v>
      </c>
      <c r="CV84" s="14" t="e">
        <f t="shared" si="95"/>
        <v>#NUM!</v>
      </c>
      <c r="CW84" s="22" t="e">
        <f t="shared" si="67"/>
        <v>#NUM!</v>
      </c>
      <c r="CX84" s="62" t="e">
        <f t="shared" si="68"/>
        <v>#NUM!</v>
      </c>
      <c r="CY84" s="62">
        <f ca="1">AVERAGE(OFFSET($CX$3,0,0,'Données projet'!$E$13+1,1))-AVERAGE(OFFSET($H$3,0,0,'Données projet'!$E$13+1,1))</f>
        <v>350.06545824795847</v>
      </c>
      <c r="CZ84" s="62">
        <f t="shared" si="96"/>
        <v>513.80016421153414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6.8</v>
      </c>
      <c r="DO84" s="13">
        <f>IF('Données projet'!$A$166&gt;35,DO83+DN84-DW83,IF(A84&lt;'Données projet'!$A$166,$DL$205^A84,IF(A84='Données projet'!$A$166,'Données projet'!$B$166,DO83+DN84-DW83)))</f>
        <v>298.8</v>
      </c>
      <c r="DP84" s="18">
        <f>DO84*VLOOKUP('Données projet'!$B$14,Paramètres!$A$1:$I$89,3,0)*VLOOKUP('Données projet'!$B$14,Paramètres!$A$1:$I$89,5,0)</f>
        <v>237.72528000000003</v>
      </c>
      <c r="DQ84" s="14">
        <f t="shared" si="97"/>
        <v>57.949842464086245</v>
      </c>
      <c r="DR84" s="22">
        <f t="shared" si="70"/>
        <v>514.96750495828348</v>
      </c>
      <c r="DS84" s="62">
        <f t="shared" si="71"/>
        <v>808.30083829161686</v>
      </c>
      <c r="DT84" s="62">
        <f ca="1">AVERAGE(OFFSET($DS$3,0,0,'Données projet'!$E$14+1,1))-AVERAGE(OFFSET($H$3,0,0,'Données projet'!$E$14+1,1))</f>
        <v>382.14353215900121</v>
      </c>
      <c r="DU84" s="62">
        <f t="shared" si="98"/>
        <v>249.73945975250177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2.1632539389945044E-7</v>
      </c>
      <c r="ED84" s="24">
        <f t="shared" si="72"/>
        <v>2.1632539389945044E-7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6.8</v>
      </c>
      <c r="N85" s="14">
        <f>IF('Données projet'!$A$36&gt;35,N84+M85-V84,IF(A85&lt;'Données projet'!$A$36,$K$205^A85,IF(A85='Données projet'!$A$36,'Données projet'!$B$36,N84+M85-V84)))</f>
        <v>305.60000000000002</v>
      </c>
      <c r="O85" s="14">
        <f>N85*VLOOKUP('Données projet'!$B$9,Paramètres!$A$1:$I$89,3,0)*VLOOKUP('Données projet'!$B$9,Paramètres!$A$1:$I$89,5,0)</f>
        <v>276.50687999999997</v>
      </c>
      <c r="P85" s="14">
        <f t="shared" si="87"/>
        <v>66.228273722513677</v>
      </c>
      <c r="Q85" s="22">
        <f t="shared" si="54"/>
        <v>596.93039273337797</v>
      </c>
      <c r="R85" s="62">
        <f t="shared" si="55"/>
        <v>890.26372606671134</v>
      </c>
      <c r="S85" s="62">
        <f ca="1">AVERAGE(OFFSET($R$3,0,0,'Données projet'!$E$9+1,1))-AVERAGE(OFFSET($H$3,0,0,'Données projet'!$E$9+1,1))</f>
        <v>429.08375622925655</v>
      </c>
      <c r="T85" s="62">
        <f t="shared" si="88"/>
        <v>278.21741231699929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1.7396037004334966E-7</v>
      </c>
      <c r="AC85" s="24">
        <f t="shared" si="57"/>
        <v>1.7396037004334966E-7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6.8</v>
      </c>
      <c r="AI85" s="14">
        <f>IF('Données projet'!$A$62&gt;35,AI84+AH85-AQ84,IF(A85&lt;'Données projet'!$A$62,$AF$205^A85,IF(A85='Données projet'!$A$62,'Données projet'!$B$62,AI84+AH85-AQ84)))</f>
        <v>305.60000000000002</v>
      </c>
      <c r="AJ85" s="14">
        <f>AI85*VLOOKUP('Données projet'!$B$10,Paramètres!$A$1:$I$89,3,0)*VLOOKUP('Données projet'!$B$10,Paramètres!$A$1:$I$89,5,0)</f>
        <v>290.80896000000001</v>
      </c>
      <c r="AK85" s="14">
        <f t="shared" si="89"/>
        <v>69.246193048996375</v>
      </c>
      <c r="AL85" s="22">
        <f t="shared" si="58"/>
        <v>627.096058227002</v>
      </c>
      <c r="AM85" s="62">
        <f t="shared" si="59"/>
        <v>920.42939156033526</v>
      </c>
      <c r="AN85" s="62">
        <f ca="1">AVERAGE(OFFSET($AM$3,0,0,'Données projet'!$E$10+1,1))-AVERAGE(OFFSET($H$3,0,0,'Données projet'!$E$10+1,1))</f>
        <v>449.16408464351673</v>
      </c>
      <c r="AO85" s="62">
        <f t="shared" si="90"/>
        <v>290.39826583283588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1.8295832021800578E-7</v>
      </c>
      <c r="AX85" s="23">
        <f t="shared" si="60"/>
        <v>1.8295832021800578E-7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6.8</v>
      </c>
      <c r="BD85" s="13">
        <f>IF('Données projet'!$A$88&gt;35,BD84+BC85-BL84,IF(A85&lt;'Données projet'!$A$88,$BA$205^A85,IF(A85='Données projet'!$A$88,'Données projet'!$B$88,BD84+BC85-BL84)))</f>
        <v>305.60000000000002</v>
      </c>
      <c r="BE85" s="14">
        <f>BD85*VLOOKUP('Données projet'!$B$11,Paramètres!$A$1:$I$89,3,0)*VLOOKUP('Données projet'!$B$11,Paramètres!$A$1:$I$89,5,0)</f>
        <v>295.57632000000001</v>
      </c>
      <c r="BF85" s="14">
        <f t="shared" si="91"/>
        <v>70.24828996461811</v>
      </c>
      <c r="BG85" s="22">
        <f t="shared" si="61"/>
        <v>637.1445290217099</v>
      </c>
      <c r="BH85" s="62">
        <f t="shared" si="62"/>
        <v>930.47786235504327</v>
      </c>
      <c r="BI85" s="62">
        <f ca="1">AVERAGE(OFFSET($BH$3,0,0,'Données projet'!$E$11+1,1))-AVERAGE(OFFSET($H$3,0,0,'Données projet'!$E$11+1,1))</f>
        <v>455.85294519779609</v>
      </c>
      <c r="BJ85" s="62">
        <f t="shared" si="92"/>
        <v>294.45557293177131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1.8595763694289106E-7</v>
      </c>
      <c r="BS85" s="24">
        <f t="shared" si="63"/>
        <v>1.8595763694289106E-7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5.6843418860808015E-14</v>
      </c>
      <c r="BZ85" s="14">
        <f>BY85*VLOOKUP('Données projet'!$B$12,Paramètres!$A$1:$I$89,3,0)*VLOOKUP('Données projet'!$B$12,Paramètres!$A$1:$I$89,5,0)</f>
        <v>4.9658410716801891E-14</v>
      </c>
      <c r="CA85" s="14">
        <f t="shared" si="93"/>
        <v>8.0934058173791862E-13</v>
      </c>
      <c r="CB85" s="22">
        <f t="shared" si="64"/>
        <v>1.4960899118586383E-12</v>
      </c>
      <c r="CC85" s="62">
        <f t="shared" si="65"/>
        <v>293.33333333333479</v>
      </c>
      <c r="CD85" s="62">
        <f ca="1">AVERAGE(OFFSET($CC$3,0,0,'Données projet'!$E$12+1,1))-AVERAGE(OFFSET($H$3,0,0,'Données projet'!$E$12+1,1))</f>
        <v>304.32767345253382</v>
      </c>
      <c r="CE85" s="62">
        <f t="shared" si="94"/>
        <v>427.16091343339173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-5.6843418860808015E-14</v>
      </c>
      <c r="CU85" s="18">
        <f>CT85*VLOOKUP('Données projet'!$B$13,Paramètres!$A$1:$I$89,3,0)*VLOOKUP('Données projet'!$B$13,Paramètres!$A$1:$I$89,5,0)</f>
        <v>-5.1431925385259088E-14</v>
      </c>
      <c r="CV85" s="14" t="e">
        <f t="shared" si="95"/>
        <v>#NUM!</v>
      </c>
      <c r="CW85" s="22" t="e">
        <f t="shared" si="67"/>
        <v>#NUM!</v>
      </c>
      <c r="CX85" s="62" t="e">
        <f t="shared" si="68"/>
        <v>#NUM!</v>
      </c>
      <c r="CY85" s="62">
        <f ca="1">AVERAGE(OFFSET($CX$3,0,0,'Données projet'!$E$13+1,1))-AVERAGE(OFFSET($H$3,0,0,'Données projet'!$E$13+1,1))</f>
        <v>350.06545824795847</v>
      </c>
      <c r="CZ85" s="62">
        <f t="shared" si="96"/>
        <v>513.80016421153414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6.8</v>
      </c>
      <c r="DO85" s="13">
        <f>IF('Données projet'!$A$166&gt;35,DO84+DN85-DW84,IF(A85&lt;'Données projet'!$A$166,$DL$205^A85,IF(A85='Données projet'!$A$166,'Données projet'!$B$166,DO84+DN85-DW84)))</f>
        <v>305.60000000000002</v>
      </c>
      <c r="DP85" s="18">
        <f>DO85*VLOOKUP('Données projet'!$B$14,Paramètres!$A$1:$I$89,3,0)*VLOOKUP('Données projet'!$B$14,Paramètres!$A$1:$I$89,5,0)</f>
        <v>243.13536000000005</v>
      </c>
      <c r="DQ85" s="14">
        <f t="shared" si="97"/>
        <v>59.113608030234566</v>
      </c>
      <c r="DR85" s="22">
        <f t="shared" si="70"/>
        <v>526.41695265265855</v>
      </c>
      <c r="DS85" s="62">
        <f t="shared" si="71"/>
        <v>819.75028598599192</v>
      </c>
      <c r="DT85" s="62">
        <f ca="1">AVERAGE(OFFSET($DS$3,0,0,'Données projet'!$E$14+1,1))-AVERAGE(OFFSET($H$3,0,0,'Données projet'!$E$14+1,1))</f>
        <v>382.14353215900121</v>
      </c>
      <c r="DU85" s="62">
        <f t="shared" si="98"/>
        <v>249.73945975250177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1.529651529691524E-7</v>
      </c>
      <c r="ED85" s="24">
        <f t="shared" si="72"/>
        <v>1.529651529691524E-7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6.8</v>
      </c>
      <c r="N86" s="14">
        <f>IF('Données projet'!$A$36&gt;35,N85+M86-V85,IF(A86&lt;'Données projet'!$A$36,$K$205^A86,IF(A86='Données projet'!$A$36,'Données projet'!$B$36,N85+M86-V85)))</f>
        <v>312.40000000000003</v>
      </c>
      <c r="O86" s="14">
        <f>N86*VLOOKUP('Données projet'!$B$9,Paramètres!$A$1:$I$89,3,0)*VLOOKUP('Données projet'!$B$9,Paramètres!$A$1:$I$89,5,0)</f>
        <v>282.65952000000004</v>
      </c>
      <c r="P86" s="14">
        <f t="shared" si="87"/>
        <v>67.528732309967324</v>
      </c>
      <c r="Q86" s="22">
        <f t="shared" si="54"/>
        <v>609.91120610652649</v>
      </c>
      <c r="R86" s="62">
        <f t="shared" si="55"/>
        <v>903.24453943985986</v>
      </c>
      <c r="S86" s="62">
        <f ca="1">AVERAGE(OFFSET($R$3,0,0,'Données projet'!$E$9+1,1))-AVERAGE(OFFSET($H$3,0,0,'Données projet'!$E$9+1,1))</f>
        <v>429.08375622925655</v>
      </c>
      <c r="T86" s="62">
        <f t="shared" si="88"/>
        <v>278.21741231699929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1.2300855731537368E-7</v>
      </c>
      <c r="AC86" s="24">
        <f t="shared" si="57"/>
        <v>1.2300855731537368E-7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6.8</v>
      </c>
      <c r="AI86" s="14">
        <f>IF('Données projet'!$A$62&gt;35,AI85+AH86-AQ85,IF(A86&lt;'Données projet'!$A$62,$AF$205^A86,IF(A86='Données projet'!$A$62,'Données projet'!$B$62,AI85+AH86-AQ85)))</f>
        <v>312.40000000000003</v>
      </c>
      <c r="AJ86" s="14">
        <f>AI86*VLOOKUP('Données projet'!$B$10,Paramètres!$A$1:$I$89,3,0)*VLOOKUP('Données projet'!$B$10,Paramètres!$A$1:$I$89,5,0)</f>
        <v>297.27984000000004</v>
      </c>
      <c r="AK86" s="14">
        <f t="shared" si="89"/>
        <v>70.60591150966988</v>
      </c>
      <c r="AL86" s="22">
        <f t="shared" si="58"/>
        <v>640.73435054600839</v>
      </c>
      <c r="AM86" s="62">
        <f t="shared" si="59"/>
        <v>934.06768387934176</v>
      </c>
      <c r="AN86" s="62">
        <f ca="1">AVERAGE(OFFSET($AM$3,0,0,'Données projet'!$E$10+1,1))-AVERAGE(OFFSET($H$3,0,0,'Données projet'!$E$10+1,1))</f>
        <v>449.16408464351673</v>
      </c>
      <c r="AO86" s="62">
        <f t="shared" si="90"/>
        <v>290.39826583283588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1.293710689006517E-7</v>
      </c>
      <c r="AX86" s="23">
        <f t="shared" si="60"/>
        <v>1.293710689006517E-7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6.8</v>
      </c>
      <c r="BD86" s="13">
        <f>IF('Données projet'!$A$88&gt;35,BD85+BC86-BL85,IF(A86&lt;'Données projet'!$A$88,$BA$205^A86,IF(A86='Données projet'!$A$88,'Données projet'!$B$88,BD85+BC86-BL85)))</f>
        <v>312.40000000000003</v>
      </c>
      <c r="BE86" s="14">
        <f>BD86*VLOOKUP('Données projet'!$B$11,Paramètres!$A$1:$I$89,3,0)*VLOOKUP('Données projet'!$B$11,Paramètres!$A$1:$I$89,5,0)</f>
        <v>302.15328000000005</v>
      </c>
      <c r="BF86" s="14">
        <f t="shared" si="91"/>
        <v>71.627685603423203</v>
      </c>
      <c r="BG86" s="22">
        <f t="shared" si="61"/>
        <v>651.00184842596218</v>
      </c>
      <c r="BH86" s="62">
        <f t="shared" si="62"/>
        <v>944.33518175929544</v>
      </c>
      <c r="BI86" s="62">
        <f ca="1">AVERAGE(OFFSET($BH$3,0,0,'Données projet'!$E$11+1,1))-AVERAGE(OFFSET($H$3,0,0,'Données projet'!$E$11+1,1))</f>
        <v>455.85294519779609</v>
      </c>
      <c r="BJ86" s="62">
        <f t="shared" si="92"/>
        <v>294.45557293177131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1.3149190609574432E-7</v>
      </c>
      <c r="BS86" s="24">
        <f t="shared" si="63"/>
        <v>1.3149190609574432E-7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5.6843418860808015E-14</v>
      </c>
      <c r="BZ86" s="14">
        <f>BY86*VLOOKUP('Données projet'!$B$12,Paramètres!$A$1:$I$89,3,0)*VLOOKUP('Données projet'!$B$12,Paramètres!$A$1:$I$89,5,0)</f>
        <v>4.9658410716801891E-14</v>
      </c>
      <c r="CA86" s="14">
        <f t="shared" si="93"/>
        <v>8.0934058173791862E-13</v>
      </c>
      <c r="CB86" s="22">
        <f t="shared" si="64"/>
        <v>1.4960899118586383E-12</v>
      </c>
      <c r="CC86" s="62">
        <f t="shared" si="65"/>
        <v>293.33333333333479</v>
      </c>
      <c r="CD86" s="62">
        <f ca="1">AVERAGE(OFFSET($CC$3,0,0,'Données projet'!$E$12+1,1))-AVERAGE(OFFSET($H$3,0,0,'Données projet'!$E$12+1,1))</f>
        <v>304.32767345253382</v>
      </c>
      <c r="CE86" s="62">
        <f t="shared" si="94"/>
        <v>427.16091343339173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-5.6843418860808015E-14</v>
      </c>
      <c r="CU86" s="18">
        <f>CT86*VLOOKUP('Données projet'!$B$13,Paramètres!$A$1:$I$89,3,0)*VLOOKUP('Données projet'!$B$13,Paramètres!$A$1:$I$89,5,0)</f>
        <v>-5.1431925385259088E-14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350.06545824795847</v>
      </c>
      <c r="CZ86" s="62">
        <f t="shared" si="96"/>
        <v>513.80016421153414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6.8</v>
      </c>
      <c r="DO86" s="13">
        <f>IF('Données projet'!$A$166&gt;35,DO85+DN86-DW85,IF(A86&lt;'Données projet'!$A$166,$DL$205^A86,IF(A86='Données projet'!$A$166,'Données projet'!$B$166,DO85+DN86-DW85)))</f>
        <v>312.40000000000003</v>
      </c>
      <c r="DP86" s="18">
        <f>DO86*VLOOKUP('Données projet'!$B$14,Paramètres!$A$1:$I$89,3,0)*VLOOKUP('Données projet'!$B$14,Paramètres!$A$1:$I$89,5,0)</f>
        <v>248.54544000000001</v>
      </c>
      <c r="DQ86" s="14">
        <f t="shared" si="97"/>
        <v>60.274363020171009</v>
      </c>
      <c r="DR86" s="22">
        <f t="shared" si="70"/>
        <v>537.86115692679789</v>
      </c>
      <c r="DS86" s="62">
        <f t="shared" si="71"/>
        <v>831.19449026013126</v>
      </c>
      <c r="DT86" s="62">
        <f ca="1">AVERAGE(OFFSET($DS$3,0,0,'Données projet'!$E$14+1,1))-AVERAGE(OFFSET($H$3,0,0,'Données projet'!$E$14+1,1))</f>
        <v>382.14353215900121</v>
      </c>
      <c r="DU86" s="62">
        <f t="shared" si="98"/>
        <v>249.73945975250177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1.0816269694972522E-7</v>
      </c>
      <c r="ED86" s="24">
        <f t="shared" si="72"/>
        <v>1.0816269694972522E-7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6.8</v>
      </c>
      <c r="N87" s="14">
        <f>IF('Données projet'!$A$36&gt;35,N86+M87-V86,IF(A87&lt;'Données projet'!$A$36,$K$205^A87,IF(A87='Données projet'!$A$36,'Données projet'!$B$36,N86+M87-V86)))</f>
        <v>319.20000000000005</v>
      </c>
      <c r="O87" s="14">
        <f>N87*VLOOKUP('Données projet'!$B$9,Paramètres!$A$1:$I$89,3,0)*VLOOKUP('Données projet'!$B$9,Paramètres!$A$1:$I$89,5,0)</f>
        <v>288.81216000000006</v>
      </c>
      <c r="P87" s="14">
        <f t="shared" si="87"/>
        <v>68.825899854238159</v>
      </c>
      <c r="Q87" s="22">
        <f t="shared" si="54"/>
        <v>622.88628757946492</v>
      </c>
      <c r="R87" s="62">
        <f t="shared" si="55"/>
        <v>916.21962091279829</v>
      </c>
      <c r="S87" s="62">
        <f ca="1">AVERAGE(OFFSET($R$3,0,0,'Données projet'!$E$9+1,1))-AVERAGE(OFFSET($H$3,0,0,'Données projet'!$E$9+1,1))</f>
        <v>429.08375622925655</v>
      </c>
      <c r="T87" s="62">
        <f t="shared" si="88"/>
        <v>278.21741231699929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8.698018502167483E-8</v>
      </c>
      <c r="AC87" s="24">
        <f t="shared" si="57"/>
        <v>8.698018502167483E-8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6.8</v>
      </c>
      <c r="AI87" s="14">
        <f>IF('Données projet'!$A$62&gt;35,AI86+AH87-AQ86,IF(A87&lt;'Données projet'!$A$62,$AF$205^A87,IF(A87='Données projet'!$A$62,'Données projet'!$B$62,AI86+AH87-AQ86)))</f>
        <v>319.20000000000005</v>
      </c>
      <c r="AJ87" s="14">
        <f>AI87*VLOOKUP('Données projet'!$B$10,Paramètres!$A$1:$I$89,3,0)*VLOOKUP('Données projet'!$B$10,Paramètres!$A$1:$I$89,5,0)</f>
        <v>303.75072000000006</v>
      </c>
      <c r="AK87" s="14">
        <f t="shared" si="89"/>
        <v>71.962188959446451</v>
      </c>
      <c r="AL87" s="22">
        <f t="shared" si="58"/>
        <v>654.36664977103601</v>
      </c>
      <c r="AM87" s="62">
        <f t="shared" si="59"/>
        <v>947.69998310436927</v>
      </c>
      <c r="AN87" s="62">
        <f ca="1">AVERAGE(OFFSET($AM$3,0,0,'Données projet'!$E$10+1,1))-AVERAGE(OFFSET($H$3,0,0,'Données projet'!$E$10+1,1))</f>
        <v>449.16408464351673</v>
      </c>
      <c r="AO87" s="62">
        <f t="shared" si="90"/>
        <v>290.39826583283588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9.1479160109002889E-8</v>
      </c>
      <c r="AX87" s="23">
        <f t="shared" si="60"/>
        <v>9.1479160109002889E-8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6.8</v>
      </c>
      <c r="BD87" s="13">
        <f>IF('Données projet'!$A$88&gt;35,BD86+BC87-BL86,IF(A87&lt;'Données projet'!$A$88,$BA$205^A87,IF(A87='Données projet'!$A$88,'Données projet'!$B$88,BD86+BC87-BL86)))</f>
        <v>319.20000000000005</v>
      </c>
      <c r="BE87" s="14">
        <f>BD87*VLOOKUP('Données projet'!$B$11,Paramètres!$A$1:$I$89,3,0)*VLOOKUP('Données projet'!$B$11,Paramètres!$A$1:$I$89,5,0)</f>
        <v>308.73024000000004</v>
      </c>
      <c r="BF87" s="14">
        <f t="shared" si="91"/>
        <v>73.003590434710574</v>
      </c>
      <c r="BG87" s="22">
        <f t="shared" si="61"/>
        <v>664.85308800712107</v>
      </c>
      <c r="BH87" s="62">
        <f t="shared" si="62"/>
        <v>958.18642134045444</v>
      </c>
      <c r="BI87" s="62">
        <f ca="1">AVERAGE(OFFSET($BH$3,0,0,'Données projet'!$E$11+1,1))-AVERAGE(OFFSET($H$3,0,0,'Données projet'!$E$11+1,1))</f>
        <v>455.85294519779609</v>
      </c>
      <c r="BJ87" s="62">
        <f t="shared" si="92"/>
        <v>294.45557293177131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9.2978818471445532E-8</v>
      </c>
      <c r="BS87" s="24">
        <f t="shared" si="63"/>
        <v>9.2978818471445532E-8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5.6843418860808015E-14</v>
      </c>
      <c r="BZ87" s="14">
        <f>BY87*VLOOKUP('Données projet'!$B$12,Paramètres!$A$1:$I$89,3,0)*VLOOKUP('Données projet'!$B$12,Paramètres!$A$1:$I$89,5,0)</f>
        <v>4.9658410716801891E-14</v>
      </c>
      <c r="CA87" s="14">
        <f t="shared" si="93"/>
        <v>8.0934058173791862E-13</v>
      </c>
      <c r="CB87" s="22">
        <f t="shared" si="64"/>
        <v>1.4960899118586383E-12</v>
      </c>
      <c r="CC87" s="62">
        <f t="shared" si="65"/>
        <v>293.33333333333479</v>
      </c>
      <c r="CD87" s="62">
        <f ca="1">AVERAGE(OFFSET($CC$3,0,0,'Données projet'!$E$12+1,1))-AVERAGE(OFFSET($H$3,0,0,'Données projet'!$E$12+1,1))</f>
        <v>304.32767345253382</v>
      </c>
      <c r="CE87" s="62">
        <f t="shared" si="94"/>
        <v>427.16091343339173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-5.6843418860808015E-14</v>
      </c>
      <c r="CU87" s="18">
        <f>CT87*VLOOKUP('Données projet'!$B$13,Paramètres!$A$1:$I$89,3,0)*VLOOKUP('Données projet'!$B$13,Paramètres!$A$1:$I$89,5,0)</f>
        <v>-5.1431925385259088E-14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350.06545824795847</v>
      </c>
      <c r="CZ87" s="62">
        <f t="shared" si="96"/>
        <v>513.80016421153414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6.8</v>
      </c>
      <c r="DO87" s="13">
        <f>IF('Données projet'!$A$166&gt;35,DO86+DN87-DW86,IF(A87&lt;'Données projet'!$A$166,$DL$205^A87,IF(A87='Données projet'!$A$166,'Données projet'!$B$166,DO86+DN87-DW86)))</f>
        <v>319.20000000000005</v>
      </c>
      <c r="DP87" s="18">
        <f>DO87*VLOOKUP('Données projet'!$B$14,Paramètres!$A$1:$I$89,3,0)*VLOOKUP('Données projet'!$B$14,Paramètres!$A$1:$I$89,5,0)</f>
        <v>253.95552000000006</v>
      </c>
      <c r="DQ87" s="14">
        <f t="shared" si="97"/>
        <v>61.432180511879253</v>
      </c>
      <c r="DR87" s="22">
        <f t="shared" si="70"/>
        <v>549.30024505818972</v>
      </c>
      <c r="DS87" s="62">
        <f t="shared" si="71"/>
        <v>842.63357839152309</v>
      </c>
      <c r="DT87" s="62">
        <f ca="1">AVERAGE(OFFSET($DS$3,0,0,'Données projet'!$E$14+1,1))-AVERAGE(OFFSET($H$3,0,0,'Données projet'!$E$14+1,1))</f>
        <v>382.14353215900121</v>
      </c>
      <c r="DU87" s="62">
        <f t="shared" si="98"/>
        <v>249.73945975250177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7.6482576484576201E-8</v>
      </c>
      <c r="ED87" s="24">
        <f t="shared" si="72"/>
        <v>7.6482576484576201E-8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326</v>
      </c>
      <c r="L88" s="13">
        <f>VLOOKUP(A88,'Données projet'!$A$35:$I$55,9,0)</f>
        <v>6.8</v>
      </c>
      <c r="M88" s="13">
        <f t="array" ref="M88">INDEX(L:L,MIN(IF(ISNUMBER(L88:L284),ROW(L88:L284),"")))</f>
        <v>6.8</v>
      </c>
      <c r="N88" s="14">
        <f>IF('Données projet'!$A$36&gt;35,N87+M88-V87,IF(A88&lt;'Données projet'!$A$36,$K$205^A88,IF(A88='Données projet'!$A$36,'Données projet'!$B$36,N87+M88-V87)))</f>
        <v>326.00000000000006</v>
      </c>
      <c r="O88" s="14">
        <f>N88*VLOOKUP('Données projet'!$B$9,Paramètres!$A$1:$I$89,3,0)*VLOOKUP('Données projet'!$B$9,Paramètres!$A$1:$I$89,5,0)</f>
        <v>294.96480000000003</v>
      </c>
      <c r="P88" s="14">
        <f t="shared" si="87"/>
        <v>70.119854541045001</v>
      </c>
      <c r="Q88" s="22">
        <f t="shared" si="54"/>
        <v>635.85577332565333</v>
      </c>
      <c r="R88" s="62">
        <f t="shared" si="55"/>
        <v>929.1891066589867</v>
      </c>
      <c r="S88" s="62">
        <f ca="1">AVERAGE(OFFSET($R$3,0,0,'Données projet'!$E$9+1,1))-AVERAGE(OFFSET($H$3,0,0,'Données projet'!$E$9+1,1))</f>
        <v>429.08375622925655</v>
      </c>
      <c r="T88" s="62">
        <f t="shared" si="88"/>
        <v>278.21741231699929</v>
      </c>
      <c r="U88" s="16">
        <f>IF(ISNA(VLOOKUP(A88,'Données projet'!$A$35:$I$55,3,0)),0,VLOOKUP(A88,'Données projet'!$A$35:$I$55,3,0))</f>
        <v>14</v>
      </c>
      <c r="V88" s="16">
        <f>IF(ISNA(VLOOKUP(A88,'Données projet'!$A$35:$I$55,4,0)),0,VLOOKUP(A88,'Données projet'!$A$35:$I$55,4,0))</f>
        <v>28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6.150427865768684E-8</v>
      </c>
      <c r="AC88" s="24">
        <f t="shared" si="57"/>
        <v>6.150427865768684E-8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326</v>
      </c>
      <c r="AG88" s="13">
        <f>VLOOKUP(A88,'Données projet'!$A$61:$I$81,9,0)</f>
        <v>6.8</v>
      </c>
      <c r="AH88" s="13">
        <f t="array" ref="AH88">INDEX(AG:AG,MIN(IF(ISNUMBER(AG88:AG284),ROW(AG88:AG284),"")))</f>
        <v>6.8</v>
      </c>
      <c r="AI88" s="14">
        <f>IF('Données projet'!$A$62&gt;35,AI87+AH88-AQ87,IF(A88&lt;'Données projet'!$A$62,$AF$205^A88,IF(A88='Données projet'!$A$62,'Données projet'!$B$62,AI87+AH88-AQ87)))</f>
        <v>326.00000000000006</v>
      </c>
      <c r="AJ88" s="14">
        <f>AI88*VLOOKUP('Données projet'!$B$10,Paramètres!$A$1:$I$89,3,0)*VLOOKUP('Données projet'!$B$10,Paramètres!$A$1:$I$89,5,0)</f>
        <v>310.22160000000008</v>
      </c>
      <c r="AK88" s="14">
        <f t="shared" si="89"/>
        <v>73.315107146846231</v>
      </c>
      <c r="AL88" s="22">
        <f t="shared" si="58"/>
        <v>667.99309828075729</v>
      </c>
      <c r="AM88" s="62">
        <f t="shared" si="59"/>
        <v>961.32643161409055</v>
      </c>
      <c r="AN88" s="62">
        <f ca="1">AVERAGE(OFFSET($AM$3,0,0,'Données projet'!$E$10+1,1))-AVERAGE(OFFSET($H$3,0,0,'Données projet'!$E$10+1,1))</f>
        <v>449.16408464351673</v>
      </c>
      <c r="AO88" s="62">
        <f t="shared" si="90"/>
        <v>290.39826583283588</v>
      </c>
      <c r="AP88" s="16">
        <f>IF(ISNA(VLOOKUP(A88,'Données projet'!$A$61:$I$81,3,0)),0,VLOOKUP(A88,'Données projet'!$A$61:$I$81,3,0))</f>
        <v>14</v>
      </c>
      <c r="AQ88" s="16">
        <f>IF(ISNA(VLOOKUP(A88,'Données projet'!$A$61:$I$81,4,0)),0,VLOOKUP(A88,'Données projet'!$A$61:$I$81,4,0))</f>
        <v>28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6.4685534450325852E-8</v>
      </c>
      <c r="AX88" s="23">
        <f t="shared" si="60"/>
        <v>6.4685534450325852E-8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326</v>
      </c>
      <c r="BB88" s="13">
        <f>VLOOKUP(A88,'Données projet'!$A$87:$I$107,9,0)</f>
        <v>6.8</v>
      </c>
      <c r="BC88" s="13">
        <f t="array" ref="BC88">INDEX(BB:BB,MIN(IF(ISNUMBER(BB88:BB284),ROW(BB88:BB284),"")))</f>
        <v>6.8</v>
      </c>
      <c r="BD88" s="13">
        <f>IF('Données projet'!$A$88&gt;35,BD87+BC88-BL87,IF(A88&lt;'Données projet'!$A$88,$BA$205^A88,IF(A88='Données projet'!$A$88,'Données projet'!$B$88,BD87+BC88-BL87)))</f>
        <v>326.00000000000006</v>
      </c>
      <c r="BE88" s="14">
        <f>BD88*VLOOKUP('Données projet'!$B$11,Paramètres!$A$1:$I$89,3,0)*VLOOKUP('Données projet'!$B$11,Paramètres!$A$1:$I$89,5,0)</f>
        <v>315.30720000000008</v>
      </c>
      <c r="BF88" s="14">
        <f t="shared" si="91"/>
        <v>74.376087390025049</v>
      </c>
      <c r="BG88" s="22">
        <f t="shared" si="61"/>
        <v>678.69839220429378</v>
      </c>
      <c r="BH88" s="62">
        <f t="shared" si="62"/>
        <v>972.03172553762715</v>
      </c>
      <c r="BI88" s="62">
        <f ca="1">AVERAGE(OFFSET($BH$3,0,0,'Données projet'!$E$11+1,1))-AVERAGE(OFFSET($H$3,0,0,'Données projet'!$E$11+1,1))</f>
        <v>455.85294519779609</v>
      </c>
      <c r="BJ88" s="62">
        <f t="shared" si="92"/>
        <v>294.45557293177131</v>
      </c>
      <c r="BK88" s="16">
        <f>IF(ISNA(VLOOKUP(A88,'Données projet'!$A$87:$I$107,3,0)),0,VLOOKUP(A88,'Données projet'!$A$87:$I$107,3,0))</f>
        <v>14</v>
      </c>
      <c r="BL88" s="16">
        <f>IF(ISNA(VLOOKUP(A88,'Données projet'!$A$87:$I$107,4,0)),0,VLOOKUP(A88,'Données projet'!$A$87:$I$107,4,0))</f>
        <v>28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6.5745953047872158E-8</v>
      </c>
      <c r="BS88" s="24">
        <f t="shared" si="63"/>
        <v>6.5745953047872158E-8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5.6843418860808015E-14</v>
      </c>
      <c r="BZ88" s="14">
        <f>BY88*VLOOKUP('Données projet'!$B$12,Paramètres!$A$1:$I$89,3,0)*VLOOKUP('Données projet'!$B$12,Paramètres!$A$1:$I$89,5,0)</f>
        <v>4.9658410716801891E-14</v>
      </c>
      <c r="CA88" s="14">
        <f t="shared" si="93"/>
        <v>8.0934058173791862E-13</v>
      </c>
      <c r="CB88" s="22">
        <f t="shared" si="64"/>
        <v>1.4960899118586383E-12</v>
      </c>
      <c r="CC88" s="62">
        <f t="shared" si="65"/>
        <v>293.33333333333479</v>
      </c>
      <c r="CD88" s="62">
        <f ca="1">AVERAGE(OFFSET($CC$3,0,0,'Données projet'!$E$12+1,1))-AVERAGE(OFFSET($H$3,0,0,'Données projet'!$E$12+1,1))</f>
        <v>304.32767345253382</v>
      </c>
      <c r="CE88" s="62">
        <f t="shared" si="94"/>
        <v>427.16091343339173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-5.6843418860808015E-14</v>
      </c>
      <c r="CU88" s="18">
        <f>CT88*VLOOKUP('Données projet'!$B$13,Paramètres!$A$1:$I$89,3,0)*VLOOKUP('Données projet'!$B$13,Paramètres!$A$1:$I$89,5,0)</f>
        <v>-5.1431925385259088E-14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350.06545824795847</v>
      </c>
      <c r="CZ88" s="62">
        <f t="shared" si="96"/>
        <v>513.80016421153414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326</v>
      </c>
      <c r="DM88" s="13">
        <f>VLOOKUP(A88,'Données projet'!$A$165:$I$185,9,0)</f>
        <v>6.8</v>
      </c>
      <c r="DN88" s="13">
        <f t="array" ref="DN88">INDEX(DM:DM,MIN(IF(ISNUMBER(DM88:DM284),ROW(DM88:DM284),"")))</f>
        <v>6.8</v>
      </c>
      <c r="DO88" s="13">
        <f>IF('Données projet'!$A$166&gt;35,DO87+DN88-DW87,IF(A88&lt;'Données projet'!$A$166,$DL$205^A88,IF(A88='Données projet'!$A$166,'Données projet'!$B$166,DO87+DN88-DW87)))</f>
        <v>326.00000000000006</v>
      </c>
      <c r="DP88" s="18">
        <f>DO88*VLOOKUP('Données projet'!$B$14,Paramètres!$A$1:$I$89,3,0)*VLOOKUP('Données projet'!$B$14,Paramètres!$A$1:$I$89,5,0)</f>
        <v>259.36560000000003</v>
      </c>
      <c r="DQ88" s="14">
        <f t="shared" si="97"/>
        <v>62.587130291867041</v>
      </c>
      <c r="DR88" s="22">
        <f t="shared" si="70"/>
        <v>560.73433859166846</v>
      </c>
      <c r="DS88" s="62">
        <f t="shared" si="71"/>
        <v>854.06767192500183</v>
      </c>
      <c r="DT88" s="62">
        <f ca="1">AVERAGE(OFFSET($DS$3,0,0,'Données projet'!$E$14+1,1))-AVERAGE(OFFSET($H$3,0,0,'Données projet'!$E$14+1,1))</f>
        <v>382.14353215900121</v>
      </c>
      <c r="DU88" s="62">
        <f t="shared" si="98"/>
        <v>249.73945975250177</v>
      </c>
      <c r="DV88" s="16">
        <f>IF(ISNA(VLOOKUP(A88,'Données projet'!$A$165:$I$185,3,0)),0,VLOOKUP(A88,'Données projet'!$A$165:$I$185,3,0))</f>
        <v>14</v>
      </c>
      <c r="DW88" s="16">
        <f>IF(ISNA(VLOOKUP(A88,'Données projet'!$A$165:$I$185,4,0)),0,VLOOKUP(A88,'Données projet'!$A$165:$I$185,4,0))</f>
        <v>28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5.408134847486261E-8</v>
      </c>
      <c r="ED88" s="24">
        <f t="shared" si="72"/>
        <v>5.408134847486261E-8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6.4</v>
      </c>
      <c r="N89" s="14">
        <f>IF('Données projet'!$A$36&gt;35,N88+M89-V88,IF(A89&lt;'Données projet'!$A$36,$K$205^A89,IF(A89='Données projet'!$A$36,'Données projet'!$B$36,N88+M89-V88)))</f>
        <v>304.40000000000003</v>
      </c>
      <c r="O89" s="14">
        <f>N89*VLOOKUP('Données projet'!$B$9,Paramètres!$A$1:$I$89,3,0)*VLOOKUP('Données projet'!$B$9,Paramètres!$A$1:$I$89,5,0)</f>
        <v>275.42112000000003</v>
      </c>
      <c r="P89" s="14">
        <f t="shared" si="87"/>
        <v>65.998433293601067</v>
      </c>
      <c r="Q89" s="22">
        <f t="shared" si="54"/>
        <v>594.63905531968851</v>
      </c>
      <c r="R89" s="62">
        <f t="shared" si="55"/>
        <v>887.97238865302188</v>
      </c>
      <c r="S89" s="62">
        <f ca="1">AVERAGE(OFFSET($R$3,0,0,'Données projet'!$E$9+1,1))-AVERAGE(OFFSET($H$3,0,0,'Données projet'!$E$9+1,1))</f>
        <v>429.08375622925655</v>
      </c>
      <c r="T89" s="62">
        <f t="shared" si="88"/>
        <v>278.21741231699929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4.3490092510837415E-8</v>
      </c>
      <c r="AC89" s="24">
        <f t="shared" si="57"/>
        <v>4.3490092510837415E-8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6.4</v>
      </c>
      <c r="AI89" s="14">
        <f>IF('Données projet'!$A$62&gt;35,AI88+AH89-AQ88,IF(A89&lt;'Données projet'!$A$62,$AF$205^A89,IF(A89='Données projet'!$A$62,'Données projet'!$B$62,AI88+AH89-AQ88)))</f>
        <v>304.40000000000003</v>
      </c>
      <c r="AJ89" s="14">
        <f>AI89*VLOOKUP('Données projet'!$B$10,Paramètres!$A$1:$I$89,3,0)*VLOOKUP('Données projet'!$B$10,Paramètres!$A$1:$I$89,5,0)</f>
        <v>289.66704000000004</v>
      </c>
      <c r="AK89" s="14">
        <f t="shared" si="89"/>
        <v>69.005879149563839</v>
      </c>
      <c r="AL89" s="22">
        <f t="shared" si="58"/>
        <v>624.68866751882376</v>
      </c>
      <c r="AM89" s="62">
        <f t="shared" si="59"/>
        <v>918.02200085215713</v>
      </c>
      <c r="AN89" s="62">
        <f ca="1">AVERAGE(OFFSET($AM$3,0,0,'Données projet'!$E$10+1,1))-AVERAGE(OFFSET($H$3,0,0,'Données projet'!$E$10+1,1))</f>
        <v>449.16408464351673</v>
      </c>
      <c r="AO89" s="62">
        <f t="shared" si="90"/>
        <v>290.39826583283588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4.5739580054501445E-8</v>
      </c>
      <c r="AX89" s="23">
        <f t="shared" si="60"/>
        <v>4.5739580054501445E-8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6.4</v>
      </c>
      <c r="BD89" s="13">
        <f>IF('Données projet'!$A$88&gt;35,BD88+BC89-BL88,IF(A89&lt;'Données projet'!$A$88,$BA$205^A89,IF(A89='Données projet'!$A$88,'Données projet'!$B$88,BD88+BC89-BL88)))</f>
        <v>304.40000000000003</v>
      </c>
      <c r="BE89" s="14">
        <f>BD89*VLOOKUP('Données projet'!$B$11,Paramètres!$A$1:$I$89,3,0)*VLOOKUP('Données projet'!$B$11,Paramètres!$A$1:$I$89,5,0)</f>
        <v>294.41568000000001</v>
      </c>
      <c r="BF89" s="14">
        <f t="shared" si="91"/>
        <v>70.004498360393455</v>
      </c>
      <c r="BG89" s="22">
        <f t="shared" si="61"/>
        <v>634.69847731101868</v>
      </c>
      <c r="BH89" s="62">
        <f t="shared" si="62"/>
        <v>928.03181064435194</v>
      </c>
      <c r="BI89" s="62">
        <f ca="1">AVERAGE(OFFSET($BH$3,0,0,'Données projet'!$E$11+1,1))-AVERAGE(OFFSET($H$3,0,0,'Données projet'!$E$11+1,1))</f>
        <v>455.85294519779609</v>
      </c>
      <c r="BJ89" s="62">
        <f t="shared" si="92"/>
        <v>294.45557293177131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4.6489409235722766E-8</v>
      </c>
      <c r="BS89" s="24">
        <f t="shared" si="63"/>
        <v>4.6489409235722766E-8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5.6843418860808015E-14</v>
      </c>
      <c r="BZ89" s="14">
        <f>BY89*VLOOKUP('Données projet'!$B$12,Paramètres!$A$1:$I$89,3,0)*VLOOKUP('Données projet'!$B$12,Paramètres!$A$1:$I$89,5,0)</f>
        <v>4.9658410716801891E-14</v>
      </c>
      <c r="CA89" s="14">
        <f t="shared" si="93"/>
        <v>8.0934058173791862E-13</v>
      </c>
      <c r="CB89" s="22">
        <f t="shared" si="64"/>
        <v>1.4960899118586383E-12</v>
      </c>
      <c r="CC89" s="62">
        <f t="shared" si="65"/>
        <v>293.33333333333479</v>
      </c>
      <c r="CD89" s="62">
        <f ca="1">AVERAGE(OFFSET($CC$3,0,0,'Données projet'!$E$12+1,1))-AVERAGE(OFFSET($H$3,0,0,'Données projet'!$E$12+1,1))</f>
        <v>304.32767345253382</v>
      </c>
      <c r="CE89" s="62">
        <f t="shared" si="94"/>
        <v>427.16091343339173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-5.6843418860808015E-14</v>
      </c>
      <c r="CU89" s="18">
        <f>CT89*VLOOKUP('Données projet'!$B$13,Paramètres!$A$1:$I$89,3,0)*VLOOKUP('Données projet'!$B$13,Paramètres!$A$1:$I$89,5,0)</f>
        <v>-5.1431925385259088E-14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350.06545824795847</v>
      </c>
      <c r="CZ89" s="62">
        <f t="shared" si="96"/>
        <v>513.80016421153414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6.4</v>
      </c>
      <c r="DO89" s="13">
        <f>IF('Données projet'!$A$166&gt;35,DO88+DN89-DW88,IF(A89&lt;'Données projet'!$A$166,$DL$205^A89,IF(A89='Données projet'!$A$166,'Données projet'!$B$166,DO88+DN89-DW88)))</f>
        <v>304.40000000000003</v>
      </c>
      <c r="DP89" s="18">
        <f>DO89*VLOOKUP('Données projet'!$B$14,Paramètres!$A$1:$I$89,3,0)*VLOOKUP('Données projet'!$B$14,Paramètres!$A$1:$I$89,5,0)</f>
        <v>242.18064000000004</v>
      </c>
      <c r="DQ89" s="14">
        <f t="shared" si="97"/>
        <v>58.908458533492883</v>
      </c>
      <c r="DR89" s="22">
        <f t="shared" si="70"/>
        <v>524.3968466125001</v>
      </c>
      <c r="DS89" s="62">
        <f t="shared" si="71"/>
        <v>817.73017994583347</v>
      </c>
      <c r="DT89" s="62">
        <f ca="1">AVERAGE(OFFSET($DS$3,0,0,'Données projet'!$E$14+1,1))-AVERAGE(OFFSET($H$3,0,0,'Données projet'!$E$14+1,1))</f>
        <v>382.14353215900121</v>
      </c>
      <c r="DU89" s="62">
        <f t="shared" si="98"/>
        <v>249.73945975250177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3.8241288242288101E-8</v>
      </c>
      <c r="ED89" s="24">
        <f t="shared" si="72"/>
        <v>3.8241288242288101E-8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6.4</v>
      </c>
      <c r="N90" s="14">
        <f>IF('Données projet'!$A$36&gt;35,N89+M90-V89,IF(A90&lt;'Données projet'!$A$36,$K$205^A90,IF(A90='Données projet'!$A$36,'Données projet'!$B$36,N89+M90-V89)))</f>
        <v>310.8</v>
      </c>
      <c r="O90" s="14">
        <f>N90*VLOOKUP('Données projet'!$B$9,Paramètres!$A$1:$I$89,3,0)*VLOOKUP('Données projet'!$B$9,Paramètres!$A$1:$I$89,5,0)</f>
        <v>281.21184</v>
      </c>
      <c r="P90" s="14">
        <f t="shared" si="87"/>
        <v>67.22304110496664</v>
      </c>
      <c r="Q90" s="22">
        <f t="shared" si="54"/>
        <v>606.85741792448357</v>
      </c>
      <c r="R90" s="62">
        <f t="shared" si="55"/>
        <v>900.19075125781683</v>
      </c>
      <c r="S90" s="62">
        <f ca="1">AVERAGE(OFFSET($R$3,0,0,'Données projet'!$E$9+1,1))-AVERAGE(OFFSET($H$3,0,0,'Données projet'!$E$9+1,1))</f>
        <v>429.08375622925655</v>
      </c>
      <c r="T90" s="62">
        <f t="shared" si="88"/>
        <v>278.21741231699929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3.075213932884342E-8</v>
      </c>
      <c r="AC90" s="24">
        <f t="shared" si="57"/>
        <v>3.075213932884342E-8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6.4</v>
      </c>
      <c r="AI90" s="14">
        <f>IF('Données projet'!$A$62&gt;35,AI89+AH90-AQ89,IF(A90&lt;'Données projet'!$A$62,$AF$205^A90,IF(A90='Données projet'!$A$62,'Données projet'!$B$62,AI89+AH90-AQ89)))</f>
        <v>310.8</v>
      </c>
      <c r="AJ90" s="14">
        <f>AI90*VLOOKUP('Données projet'!$B$10,Paramètres!$A$1:$I$89,3,0)*VLOOKUP('Données projet'!$B$10,Paramètres!$A$1:$I$89,5,0)</f>
        <v>295.75727999999998</v>
      </c>
      <c r="AK90" s="14">
        <f t="shared" si="89"/>
        <v>70.286290432370649</v>
      </c>
      <c r="AL90" s="22">
        <f t="shared" si="58"/>
        <v>637.52588516971218</v>
      </c>
      <c r="AM90" s="62">
        <f t="shared" si="59"/>
        <v>930.85921850304544</v>
      </c>
      <c r="AN90" s="62">
        <f ca="1">AVERAGE(OFFSET($AM$3,0,0,'Données projet'!$E$10+1,1))-AVERAGE(OFFSET($H$3,0,0,'Données projet'!$E$10+1,1))</f>
        <v>449.16408464351673</v>
      </c>
      <c r="AO90" s="62">
        <f t="shared" si="90"/>
        <v>290.39826583283588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3.2342767225162926E-8</v>
      </c>
      <c r="AX90" s="23">
        <f t="shared" si="60"/>
        <v>3.2342767225162926E-8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6.4</v>
      </c>
      <c r="BD90" s="13">
        <f>IF('Données projet'!$A$88&gt;35,BD89+BC90-BL89,IF(A90&lt;'Données projet'!$A$88,$BA$205^A90,IF(A90='Données projet'!$A$88,'Données projet'!$B$88,BD89+BC90-BL89)))</f>
        <v>310.8</v>
      </c>
      <c r="BE90" s="14">
        <f>BD90*VLOOKUP('Données projet'!$B$11,Paramètres!$A$1:$I$89,3,0)*VLOOKUP('Données projet'!$B$11,Paramètres!$A$1:$I$89,5,0)</f>
        <v>300.60576000000003</v>
      </c>
      <c r="BF90" s="14">
        <f t="shared" si="91"/>
        <v>71.303439126782422</v>
      </c>
      <c r="BG90" s="22">
        <f t="shared" si="61"/>
        <v>647.74185514581279</v>
      </c>
      <c r="BH90" s="62">
        <f t="shared" si="62"/>
        <v>941.07518847914616</v>
      </c>
      <c r="BI90" s="62">
        <f ca="1">AVERAGE(OFFSET($BH$3,0,0,'Données projet'!$E$11+1,1))-AVERAGE(OFFSET($H$3,0,0,'Données projet'!$E$11+1,1))</f>
        <v>455.85294519779609</v>
      </c>
      <c r="BJ90" s="62">
        <f t="shared" si="92"/>
        <v>294.45557293177131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3.2872976523936079E-8</v>
      </c>
      <c r="BS90" s="24">
        <f t="shared" si="63"/>
        <v>3.2872976523936079E-8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5.6843418860808015E-14</v>
      </c>
      <c r="BZ90" s="14">
        <f>BY90*VLOOKUP('Données projet'!$B$12,Paramètres!$A$1:$I$89,3,0)*VLOOKUP('Données projet'!$B$12,Paramètres!$A$1:$I$89,5,0)</f>
        <v>4.9658410716801891E-14</v>
      </c>
      <c r="CA90" s="14">
        <f t="shared" si="93"/>
        <v>8.0934058173791862E-13</v>
      </c>
      <c r="CB90" s="22">
        <f t="shared" si="64"/>
        <v>1.4960899118586383E-12</v>
      </c>
      <c r="CC90" s="62">
        <f t="shared" si="65"/>
        <v>293.33333333333479</v>
      </c>
      <c r="CD90" s="62">
        <f ca="1">AVERAGE(OFFSET($CC$3,0,0,'Données projet'!$E$12+1,1))-AVERAGE(OFFSET($H$3,0,0,'Données projet'!$E$12+1,1))</f>
        <v>304.32767345253382</v>
      </c>
      <c r="CE90" s="62">
        <f t="shared" si="94"/>
        <v>427.16091343339173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-5.6843418860808015E-14</v>
      </c>
      <c r="CU90" s="18">
        <f>CT90*VLOOKUP('Données projet'!$B$13,Paramètres!$A$1:$I$89,3,0)*VLOOKUP('Données projet'!$B$13,Paramètres!$A$1:$I$89,5,0)</f>
        <v>-5.1431925385259088E-14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350.06545824795847</v>
      </c>
      <c r="CZ90" s="62">
        <f t="shared" si="96"/>
        <v>513.80016421153414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6.4</v>
      </c>
      <c r="DO90" s="13">
        <f>IF('Données projet'!$A$166&gt;35,DO89+DN90-DW89,IF(A90&lt;'Données projet'!$A$166,$DL$205^A90,IF(A90='Données projet'!$A$166,'Données projet'!$B$166,DO89+DN90-DW89)))</f>
        <v>310.8</v>
      </c>
      <c r="DP90" s="18">
        <f>DO90*VLOOKUP('Données projet'!$B$14,Paramètres!$A$1:$I$89,3,0)*VLOOKUP('Données projet'!$B$14,Paramètres!$A$1:$I$89,5,0)</f>
        <v>247.27248000000003</v>
      </c>
      <c r="DQ90" s="14">
        <f t="shared" si="97"/>
        <v>60.00151112391881</v>
      </c>
      <c r="DR90" s="22">
        <f t="shared" si="70"/>
        <v>535.16886787415854</v>
      </c>
      <c r="DS90" s="62">
        <f t="shared" si="71"/>
        <v>828.50220120749191</v>
      </c>
      <c r="DT90" s="62">
        <f ca="1">AVERAGE(OFFSET($DS$3,0,0,'Données projet'!$E$14+1,1))-AVERAGE(OFFSET($H$3,0,0,'Données projet'!$E$14+1,1))</f>
        <v>382.14353215900121</v>
      </c>
      <c r="DU90" s="62">
        <f t="shared" si="98"/>
        <v>249.73945975250177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2.7040674237431305E-8</v>
      </c>
      <c r="ED90" s="24">
        <f t="shared" si="72"/>
        <v>2.7040674237431305E-8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6.4</v>
      </c>
      <c r="N91" s="14">
        <f>IF('Données projet'!$A$36&gt;35,N90+M91-V90,IF(A91&lt;'Données projet'!$A$36,$K$205^A91,IF(A91='Données projet'!$A$36,'Données projet'!$B$36,N90+M91-V90)))</f>
        <v>317.2</v>
      </c>
      <c r="O91" s="14">
        <f>N91*VLOOKUP('Données projet'!$B$9,Paramètres!$A$1:$I$89,3,0)*VLOOKUP('Données projet'!$B$9,Paramètres!$A$1:$I$89,5,0)</f>
        <v>287.00255999999996</v>
      </c>
      <c r="P91" s="14">
        <f t="shared" si="87"/>
        <v>68.444716936118553</v>
      </c>
      <c r="Q91" s="22">
        <f t="shared" si="54"/>
        <v>619.07067399707296</v>
      </c>
      <c r="R91" s="62">
        <f t="shared" si="55"/>
        <v>912.40400733040633</v>
      </c>
      <c r="S91" s="62">
        <f ca="1">AVERAGE(OFFSET($R$3,0,0,'Données projet'!$E$9+1,1))-AVERAGE(OFFSET($H$3,0,0,'Données projet'!$E$9+1,1))</f>
        <v>429.08375622925655</v>
      </c>
      <c r="T91" s="62">
        <f t="shared" si="88"/>
        <v>278.21741231699929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2.1745046255418708E-8</v>
      </c>
      <c r="AC91" s="24">
        <f t="shared" si="57"/>
        <v>2.1745046255418708E-8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6.4</v>
      </c>
      <c r="AI91" s="14">
        <f>IF('Données projet'!$A$62&gt;35,AI90+AH91-AQ90,IF(A91&lt;'Données projet'!$A$62,$AF$205^A91,IF(A91='Données projet'!$A$62,'Données projet'!$B$62,AI90+AH91-AQ90)))</f>
        <v>317.2</v>
      </c>
      <c r="AJ91" s="14">
        <f>AI91*VLOOKUP('Données projet'!$B$10,Paramètres!$A$1:$I$89,3,0)*VLOOKUP('Données projet'!$B$10,Paramètres!$A$1:$I$89,5,0)</f>
        <v>301.84751999999997</v>
      </c>
      <c r="AK91" s="14">
        <f t="shared" si="89"/>
        <v>71.563636129190257</v>
      </c>
      <c r="AL91" s="22">
        <f t="shared" si="58"/>
        <v>650.35776359167301</v>
      </c>
      <c r="AM91" s="62">
        <f t="shared" si="59"/>
        <v>943.69109692500638</v>
      </c>
      <c r="AN91" s="62">
        <f ca="1">AVERAGE(OFFSET($AM$3,0,0,'Données projet'!$E$10+1,1))-AVERAGE(OFFSET($H$3,0,0,'Données projet'!$E$10+1,1))</f>
        <v>449.16408464351673</v>
      </c>
      <c r="AO91" s="62">
        <f t="shared" si="90"/>
        <v>290.39826583283588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2.2869790027250722E-8</v>
      </c>
      <c r="AX91" s="23">
        <f t="shared" si="60"/>
        <v>2.2869790027250722E-8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6.4</v>
      </c>
      <c r="BD91" s="13">
        <f>IF('Données projet'!$A$88&gt;35,BD90+BC91-BL90,IF(A91&lt;'Données projet'!$A$88,$BA$205^A91,IF(A91='Données projet'!$A$88,'Données projet'!$B$88,BD90+BC91-BL90)))</f>
        <v>317.2</v>
      </c>
      <c r="BE91" s="14">
        <f>BD91*VLOOKUP('Données projet'!$B$11,Paramètres!$A$1:$I$89,3,0)*VLOOKUP('Données projet'!$B$11,Paramètres!$A$1:$I$89,5,0)</f>
        <v>306.79584</v>
      </c>
      <c r="BF91" s="14">
        <f t="shared" si="91"/>
        <v>72.599269943528554</v>
      </c>
      <c r="BG91" s="22">
        <f t="shared" si="61"/>
        <v>660.77981648497882</v>
      </c>
      <c r="BH91" s="62">
        <f t="shared" si="62"/>
        <v>954.11314981831219</v>
      </c>
      <c r="BI91" s="62">
        <f ca="1">AVERAGE(OFFSET($BH$3,0,0,'Données projet'!$E$11+1,1))-AVERAGE(OFFSET($H$3,0,0,'Données projet'!$E$11+1,1))</f>
        <v>455.85294519779609</v>
      </c>
      <c r="BJ91" s="62">
        <f t="shared" si="92"/>
        <v>294.45557293177131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2.3244704617861383E-8</v>
      </c>
      <c r="BS91" s="24">
        <f t="shared" si="63"/>
        <v>2.3244704617861383E-8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5.6843418860808015E-14</v>
      </c>
      <c r="BZ91" s="14">
        <f>BY91*VLOOKUP('Données projet'!$B$12,Paramètres!$A$1:$I$89,3,0)*VLOOKUP('Données projet'!$B$12,Paramètres!$A$1:$I$89,5,0)</f>
        <v>4.9658410716801891E-14</v>
      </c>
      <c r="CA91" s="14">
        <f t="shared" si="93"/>
        <v>8.0934058173791862E-13</v>
      </c>
      <c r="CB91" s="22">
        <f t="shared" si="64"/>
        <v>1.4960899118586383E-12</v>
      </c>
      <c r="CC91" s="62">
        <f t="shared" si="65"/>
        <v>293.33333333333479</v>
      </c>
      <c r="CD91" s="62">
        <f ca="1">AVERAGE(OFFSET($CC$3,0,0,'Données projet'!$E$12+1,1))-AVERAGE(OFFSET($H$3,0,0,'Données projet'!$E$12+1,1))</f>
        <v>304.32767345253382</v>
      </c>
      <c r="CE91" s="62">
        <f t="shared" si="94"/>
        <v>427.16091343339173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-5.6843418860808015E-14</v>
      </c>
      <c r="CU91" s="18">
        <f>CT91*VLOOKUP('Données projet'!$B$13,Paramètres!$A$1:$I$89,3,0)*VLOOKUP('Données projet'!$B$13,Paramètres!$A$1:$I$89,5,0)</f>
        <v>-5.1431925385259088E-14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350.06545824795847</v>
      </c>
      <c r="CZ91" s="62">
        <f t="shared" si="96"/>
        <v>513.80016421153414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6.4</v>
      </c>
      <c r="DO91" s="13">
        <f>IF('Données projet'!$A$166&gt;35,DO90+DN91-DW90,IF(A91&lt;'Données projet'!$A$166,$DL$205^A91,IF(A91='Données projet'!$A$166,'Données projet'!$B$166,DO90+DN91-DW90)))</f>
        <v>317.2</v>
      </c>
      <c r="DP91" s="18">
        <f>DO91*VLOOKUP('Données projet'!$B$14,Paramètres!$A$1:$I$89,3,0)*VLOOKUP('Données projet'!$B$14,Paramètres!$A$1:$I$89,5,0)</f>
        <v>252.36431999999999</v>
      </c>
      <c r="DQ91" s="14">
        <f t="shared" si="97"/>
        <v>61.091946706239845</v>
      </c>
      <c r="DR91" s="22">
        <f t="shared" si="70"/>
        <v>545.93633118003436</v>
      </c>
      <c r="DS91" s="62">
        <f t="shared" si="71"/>
        <v>839.26966451336762</v>
      </c>
      <c r="DT91" s="62">
        <f ca="1">AVERAGE(OFFSET($DS$3,0,0,'Données projet'!$E$14+1,1))-AVERAGE(OFFSET($H$3,0,0,'Données projet'!$E$14+1,1))</f>
        <v>382.14353215900121</v>
      </c>
      <c r="DU91" s="62">
        <f t="shared" si="98"/>
        <v>249.73945975250177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1.912064412114405E-8</v>
      </c>
      <c r="ED91" s="24">
        <f t="shared" si="72"/>
        <v>1.912064412114405E-8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6.4</v>
      </c>
      <c r="N92" s="14">
        <f>IF('Données projet'!$A$36&gt;35,N91+M92-V91,IF(A92&lt;'Données projet'!$A$36,$K$205^A92,IF(A92='Données projet'!$A$36,'Données projet'!$B$36,N91+M92-V91)))</f>
        <v>323.59999999999997</v>
      </c>
      <c r="O92" s="14">
        <f>N92*VLOOKUP('Données projet'!$B$9,Paramètres!$A$1:$I$89,3,0)*VLOOKUP('Données projet'!$B$9,Paramètres!$A$1:$I$89,5,0)</f>
        <v>292.79327999999992</v>
      </c>
      <c r="P92" s="14">
        <f t="shared" si="87"/>
        <v>69.663526761731433</v>
      </c>
      <c r="Q92" s="22">
        <f t="shared" si="54"/>
        <v>631.27893844334869</v>
      </c>
      <c r="R92" s="62">
        <f t="shared" si="55"/>
        <v>924.61227177668206</v>
      </c>
      <c r="S92" s="62">
        <f ca="1">AVERAGE(OFFSET($R$3,0,0,'Données projet'!$E$9+1,1))-AVERAGE(OFFSET($H$3,0,0,'Données projet'!$E$9+1,1))</f>
        <v>429.08375622925655</v>
      </c>
      <c r="T92" s="62">
        <f t="shared" si="88"/>
        <v>278.21741231699929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1.537606966442171E-8</v>
      </c>
      <c r="AC92" s="24">
        <f t="shared" si="57"/>
        <v>1.537606966442171E-8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6.4</v>
      </c>
      <c r="AI92" s="14">
        <f>IF('Données projet'!$A$62&gt;35,AI91+AH92-AQ91,IF(A92&lt;'Données projet'!$A$62,$AF$205^A92,IF(A92='Données projet'!$A$62,'Données projet'!$B$62,AI91+AH92-AQ91)))</f>
        <v>323.59999999999997</v>
      </c>
      <c r="AJ92" s="14">
        <f>AI92*VLOOKUP('Données projet'!$B$10,Paramètres!$A$1:$I$89,3,0)*VLOOKUP('Données projet'!$B$10,Paramètres!$A$1:$I$89,5,0)</f>
        <v>307.93775999999997</v>
      </c>
      <c r="AK92" s="14">
        <f t="shared" si="89"/>
        <v>72.837985221060251</v>
      </c>
      <c r="AL92" s="22">
        <f t="shared" si="58"/>
        <v>663.18442292667987</v>
      </c>
      <c r="AM92" s="62">
        <f t="shared" si="59"/>
        <v>956.51775626001313</v>
      </c>
      <c r="AN92" s="62">
        <f ca="1">AVERAGE(OFFSET($AM$3,0,0,'Données projet'!$E$10+1,1))-AVERAGE(OFFSET($H$3,0,0,'Données projet'!$E$10+1,1))</f>
        <v>449.16408464351673</v>
      </c>
      <c r="AO92" s="62">
        <f t="shared" si="90"/>
        <v>290.39826583283588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1.6171383612581463E-8</v>
      </c>
      <c r="AX92" s="23">
        <f t="shared" si="60"/>
        <v>1.6171383612581463E-8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6.4</v>
      </c>
      <c r="BD92" s="13">
        <f>IF('Données projet'!$A$88&gt;35,BD91+BC92-BL91,IF(A92&lt;'Données projet'!$A$88,$BA$205^A92,IF(A92='Données projet'!$A$88,'Données projet'!$B$88,BD91+BC92-BL91)))</f>
        <v>323.59999999999997</v>
      </c>
      <c r="BE92" s="14">
        <f>BD92*VLOOKUP('Données projet'!$B$11,Paramètres!$A$1:$I$89,3,0)*VLOOKUP('Données projet'!$B$11,Paramètres!$A$1:$I$89,5,0)</f>
        <v>312.98591999999996</v>
      </c>
      <c r="BF92" s="14">
        <f t="shared" si="91"/>
        <v>73.892060789929147</v>
      </c>
      <c r="BG92" s="22">
        <f t="shared" si="61"/>
        <v>673.81248320912653</v>
      </c>
      <c r="BH92" s="62">
        <f t="shared" si="62"/>
        <v>967.1458165424599</v>
      </c>
      <c r="BI92" s="62">
        <f ca="1">AVERAGE(OFFSET($BH$3,0,0,'Données projet'!$E$11+1,1))-AVERAGE(OFFSET($H$3,0,0,'Données projet'!$E$11+1,1))</f>
        <v>455.85294519779609</v>
      </c>
      <c r="BJ92" s="62">
        <f t="shared" si="92"/>
        <v>294.45557293177131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1.643648826196804E-8</v>
      </c>
      <c r="BS92" s="24">
        <f t="shared" si="63"/>
        <v>1.643648826196804E-8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5.6843418860808015E-14</v>
      </c>
      <c r="BZ92" s="14">
        <f>BY92*VLOOKUP('Données projet'!$B$12,Paramètres!$A$1:$I$89,3,0)*VLOOKUP('Données projet'!$B$12,Paramètres!$A$1:$I$89,5,0)</f>
        <v>4.9658410716801891E-14</v>
      </c>
      <c r="CA92" s="14">
        <f t="shared" si="93"/>
        <v>8.0934058173791862E-13</v>
      </c>
      <c r="CB92" s="22">
        <f t="shared" si="64"/>
        <v>1.4960899118586383E-12</v>
      </c>
      <c r="CC92" s="62">
        <f t="shared" si="65"/>
        <v>293.33333333333479</v>
      </c>
      <c r="CD92" s="62">
        <f ca="1">AVERAGE(OFFSET($CC$3,0,0,'Données projet'!$E$12+1,1))-AVERAGE(OFFSET($H$3,0,0,'Données projet'!$E$12+1,1))</f>
        <v>304.32767345253382</v>
      </c>
      <c r="CE92" s="62">
        <f t="shared" si="94"/>
        <v>427.16091343339173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-5.6843418860808015E-14</v>
      </c>
      <c r="CU92" s="18">
        <f>CT92*VLOOKUP('Données projet'!$B$13,Paramètres!$A$1:$I$89,3,0)*VLOOKUP('Données projet'!$B$13,Paramètres!$A$1:$I$89,5,0)</f>
        <v>-5.1431925385259088E-14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350.06545824795847</v>
      </c>
      <c r="CZ92" s="62">
        <f t="shared" si="96"/>
        <v>513.80016421153414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6.4</v>
      </c>
      <c r="DO92" s="13">
        <f>IF('Données projet'!$A$166&gt;35,DO91+DN92-DW91,IF(A92&lt;'Données projet'!$A$166,$DL$205^A92,IF(A92='Données projet'!$A$166,'Données projet'!$B$166,DO91+DN92-DW91)))</f>
        <v>323.59999999999997</v>
      </c>
      <c r="DP92" s="18">
        <f>DO92*VLOOKUP('Données projet'!$B$14,Paramètres!$A$1:$I$89,3,0)*VLOOKUP('Données projet'!$B$14,Paramètres!$A$1:$I$89,5,0)</f>
        <v>257.45615999999995</v>
      </c>
      <c r="DQ92" s="14">
        <f t="shared" si="97"/>
        <v>62.179824167708176</v>
      </c>
      <c r="DR92" s="22">
        <f t="shared" si="70"/>
        <v>556.69933909209158</v>
      </c>
      <c r="DS92" s="62">
        <f t="shared" si="71"/>
        <v>850.03267242542483</v>
      </c>
      <c r="DT92" s="62">
        <f ca="1">AVERAGE(OFFSET($DS$3,0,0,'Données projet'!$E$14+1,1))-AVERAGE(OFFSET($H$3,0,0,'Données projet'!$E$14+1,1))</f>
        <v>382.14353215900121</v>
      </c>
      <c r="DU92" s="62">
        <f t="shared" si="98"/>
        <v>249.73945975250177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1.3520337118715652E-8</v>
      </c>
      <c r="ED92" s="24">
        <f t="shared" si="72"/>
        <v>1.3520337118715652E-8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330</v>
      </c>
      <c r="L93" s="13">
        <f>VLOOKUP(A93,'Données projet'!$A$35:$I$55,9,0)</f>
        <v>6.4</v>
      </c>
      <c r="M93" s="13">
        <f t="array" ref="M93">INDEX(L:L,MIN(IF(ISNUMBER(L93:L289),ROW(L93:L289),"")))</f>
        <v>6.4</v>
      </c>
      <c r="N93" s="14">
        <f>IF('Données projet'!$A$36&gt;35,N92+M93-V92,IF(A93&lt;'Données projet'!$A$36,$K$205^A93,IF(A93='Données projet'!$A$36,'Données projet'!$B$36,N92+M93-V92)))</f>
        <v>329.99999999999994</v>
      </c>
      <c r="O93" s="14">
        <f>N93*VLOOKUP('Données projet'!$B$9,Paramètres!$A$1:$I$89,3,0)*VLOOKUP('Données projet'!$B$9,Paramètres!$A$1:$I$89,5,0)</f>
        <v>298.58399999999995</v>
      </c>
      <c r="P93" s="14">
        <f t="shared" si="87"/>
        <v>70.879533797607607</v>
      </c>
      <c r="Q93" s="22">
        <f t="shared" si="54"/>
        <v>643.48232136416652</v>
      </c>
      <c r="R93" s="62">
        <f t="shared" si="55"/>
        <v>936.81565469749989</v>
      </c>
      <c r="S93" s="62">
        <f ca="1">AVERAGE(OFFSET($R$3,0,0,'Données projet'!$E$9+1,1))-AVERAGE(OFFSET($H$3,0,0,'Données projet'!$E$9+1,1))</f>
        <v>429.08375622925655</v>
      </c>
      <c r="T93" s="62">
        <f t="shared" si="88"/>
        <v>278.21741231699929</v>
      </c>
      <c r="U93" s="16">
        <f>IF(ISNA(VLOOKUP(A93,'Données projet'!$A$35:$I$55,3,0)),0,VLOOKUP(A93,'Données projet'!$A$35:$I$55,3,0))</f>
        <v>15</v>
      </c>
      <c r="V93" s="16">
        <f>IF(ISNA(VLOOKUP(A93,'Données projet'!$A$35:$I$55,4,0)),0,VLOOKUP(A93,'Données projet'!$A$35:$I$55,4,0))</f>
        <v>28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1.0872523127709354E-8</v>
      </c>
      <c r="AC93" s="24">
        <f t="shared" si="57"/>
        <v>1.0872523127709354E-8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330</v>
      </c>
      <c r="AG93" s="13">
        <f>VLOOKUP(A93,'Données projet'!$A$61:$I$81,9,0)</f>
        <v>6.4</v>
      </c>
      <c r="AH93" s="13">
        <f t="array" ref="AH93">INDEX(AG:AG,MIN(IF(ISNUMBER(AG93:AG289),ROW(AG93:AG289),"")))</f>
        <v>6.4</v>
      </c>
      <c r="AI93" s="14">
        <f>IF('Données projet'!$A$62&gt;35,AI92+AH93-AQ92,IF(A93&lt;'Données projet'!$A$62,$AF$205^A93,IF(A93='Données projet'!$A$62,'Données projet'!$B$62,AI92+AH93-AQ92)))</f>
        <v>329.99999999999994</v>
      </c>
      <c r="AJ93" s="14">
        <f>AI93*VLOOKUP('Données projet'!$B$10,Paramètres!$A$1:$I$89,3,0)*VLOOKUP('Données projet'!$B$10,Paramètres!$A$1:$I$89,5,0)</f>
        <v>314.02799999999996</v>
      </c>
      <c r="AK93" s="14">
        <f t="shared" si="89"/>
        <v>74.109403804428752</v>
      </c>
      <c r="AL93" s="22">
        <f t="shared" si="58"/>
        <v>676.00597829271317</v>
      </c>
      <c r="AM93" s="62">
        <f t="shared" si="59"/>
        <v>969.33931162604654</v>
      </c>
      <c r="AN93" s="62">
        <f ca="1">AVERAGE(OFFSET($AM$3,0,0,'Données projet'!$E$10+1,1))-AVERAGE(OFFSET($H$3,0,0,'Données projet'!$E$10+1,1))</f>
        <v>449.16408464351673</v>
      </c>
      <c r="AO93" s="62">
        <f t="shared" si="90"/>
        <v>290.39826583283588</v>
      </c>
      <c r="AP93" s="16">
        <f>IF(ISNA(VLOOKUP(A93,'Données projet'!$A$61:$I$81,3,0)),0,VLOOKUP(A93,'Données projet'!$A$61:$I$81,3,0))</f>
        <v>15</v>
      </c>
      <c r="AQ93" s="16">
        <f>IF(ISNA(VLOOKUP(A93,'Données projet'!$A$61:$I$81,4,0)),0,VLOOKUP(A93,'Données projet'!$A$61:$I$81,4,0))</f>
        <v>28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1.1434895013625361E-8</v>
      </c>
      <c r="AX93" s="23">
        <f t="shared" si="60"/>
        <v>1.1434895013625361E-8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330</v>
      </c>
      <c r="BB93" s="13">
        <f>VLOOKUP(A93,'Données projet'!$A$87:$I$107,9,0)</f>
        <v>6.4</v>
      </c>
      <c r="BC93" s="13">
        <f t="array" ref="BC93">INDEX(BB:BB,MIN(IF(ISNUMBER(BB93:BB289),ROW(BB93:BB289),"")))</f>
        <v>6.4</v>
      </c>
      <c r="BD93" s="13">
        <f>IF('Données projet'!$A$88&gt;35,BD92+BC93-BL92,IF(A93&lt;'Données projet'!$A$88,$BA$205^A93,IF(A93='Données projet'!$A$88,'Données projet'!$B$88,BD92+BC93-BL92)))</f>
        <v>329.99999999999994</v>
      </c>
      <c r="BE93" s="14">
        <f>BD93*VLOOKUP('Données projet'!$B$11,Paramètres!$A$1:$I$89,3,0)*VLOOKUP('Données projet'!$B$11,Paramètres!$A$1:$I$89,5,0)</f>
        <v>319.17599999999993</v>
      </c>
      <c r="BF93" s="14">
        <f t="shared" si="91"/>
        <v>75.181878718947672</v>
      </c>
      <c r="BG93" s="22">
        <f t="shared" si="61"/>
        <v>686.83997210216705</v>
      </c>
      <c r="BH93" s="62">
        <f t="shared" si="62"/>
        <v>980.17330543550042</v>
      </c>
      <c r="BI93" s="62">
        <f ca="1">AVERAGE(OFFSET($BH$3,0,0,'Données projet'!$E$11+1,1))-AVERAGE(OFFSET($H$3,0,0,'Données projet'!$E$11+1,1))</f>
        <v>455.85294519779609</v>
      </c>
      <c r="BJ93" s="62">
        <f t="shared" si="92"/>
        <v>294.45557293177131</v>
      </c>
      <c r="BK93" s="16">
        <f>IF(ISNA(VLOOKUP(A93,'Données projet'!$A$87:$I$107,3,0)),0,VLOOKUP(A93,'Données projet'!$A$87:$I$107,3,0))</f>
        <v>15</v>
      </c>
      <c r="BL93" s="16">
        <f>IF(ISNA(VLOOKUP(A93,'Données projet'!$A$87:$I$107,4,0)),0,VLOOKUP(A93,'Données projet'!$A$87:$I$107,4,0))</f>
        <v>28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1.1622352308930691E-8</v>
      </c>
      <c r="BS93" s="24">
        <f t="shared" si="63"/>
        <v>1.1622352308930691E-8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5.6843418860808015E-14</v>
      </c>
      <c r="BZ93" s="14">
        <f>BY93*VLOOKUP('Données projet'!$B$12,Paramètres!$A$1:$I$89,3,0)*VLOOKUP('Données projet'!$B$12,Paramètres!$A$1:$I$89,5,0)</f>
        <v>4.9658410716801891E-14</v>
      </c>
      <c r="CA93" s="14">
        <f t="shared" si="93"/>
        <v>8.0934058173791862E-13</v>
      </c>
      <c r="CB93" s="22">
        <f t="shared" si="64"/>
        <v>1.4960899118586383E-12</v>
      </c>
      <c r="CC93" s="62">
        <f t="shared" si="65"/>
        <v>293.33333333333479</v>
      </c>
      <c r="CD93" s="62">
        <f ca="1">AVERAGE(OFFSET($CC$3,0,0,'Données projet'!$E$12+1,1))-AVERAGE(OFFSET($H$3,0,0,'Données projet'!$E$12+1,1))</f>
        <v>304.32767345253382</v>
      </c>
      <c r="CE93" s="62">
        <f t="shared" si="94"/>
        <v>427.16091343339173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-5.6843418860808015E-14</v>
      </c>
      <c r="CU93" s="18">
        <f>CT93*VLOOKUP('Données projet'!$B$13,Paramètres!$A$1:$I$89,3,0)*VLOOKUP('Données projet'!$B$13,Paramètres!$A$1:$I$89,5,0)</f>
        <v>-5.1431925385259088E-14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350.06545824795847</v>
      </c>
      <c r="CZ93" s="62">
        <f t="shared" si="96"/>
        <v>513.80016421153414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330</v>
      </c>
      <c r="DM93" s="13">
        <f>VLOOKUP(A93,'Données projet'!$A$165:$I$185,9,0)</f>
        <v>6.4</v>
      </c>
      <c r="DN93" s="13">
        <f t="array" ref="DN93">INDEX(DM:DM,MIN(IF(ISNUMBER(DM93:DM289),ROW(DM93:DM289),"")))</f>
        <v>6.4</v>
      </c>
      <c r="DO93" s="13">
        <f>IF('Données projet'!$A$166&gt;35,DO92+DN93-DW92,IF(A93&lt;'Données projet'!$A$166,$DL$205^A93,IF(A93='Données projet'!$A$166,'Données projet'!$B$166,DO92+DN93-DW92)))</f>
        <v>329.99999999999994</v>
      </c>
      <c r="DP93" s="18">
        <f>DO93*VLOOKUP('Données projet'!$B$14,Paramètres!$A$1:$I$89,3,0)*VLOOKUP('Données projet'!$B$14,Paramètres!$A$1:$I$89,5,0)</f>
        <v>262.548</v>
      </c>
      <c r="DQ93" s="14">
        <f t="shared" si="97"/>
        <v>63.265199933079444</v>
      </c>
      <c r="DR93" s="22">
        <f t="shared" si="70"/>
        <v>567.45798988344666</v>
      </c>
      <c r="DS93" s="62">
        <f t="shared" si="71"/>
        <v>860.79132321678003</v>
      </c>
      <c r="DT93" s="62">
        <f ca="1">AVERAGE(OFFSET($DS$3,0,0,'Données projet'!$E$14+1,1))-AVERAGE(OFFSET($H$3,0,0,'Données projet'!$E$14+1,1))</f>
        <v>382.14353215900121</v>
      </c>
      <c r="DU93" s="62">
        <f t="shared" si="98"/>
        <v>249.73945975250177</v>
      </c>
      <c r="DV93" s="16">
        <f>IF(ISNA(VLOOKUP(A93,'Données projet'!$A$165:$I$185,3,0)),0,VLOOKUP(A93,'Données projet'!$A$165:$I$185,3,0))</f>
        <v>15</v>
      </c>
      <c r="DW93" s="16">
        <f>IF(ISNA(VLOOKUP(A93,'Données projet'!$A$165:$I$185,4,0)),0,VLOOKUP(A93,'Données projet'!$A$165:$I$185,4,0))</f>
        <v>28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9.5603220605720252E-9</v>
      </c>
      <c r="ED93" s="24">
        <f t="shared" si="72"/>
        <v>9.5603220605720252E-9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6.2</v>
      </c>
      <c r="N94" s="14">
        <f>IF('Données projet'!$A$36&gt;35,N93+M94-V93,IF(A94&lt;'Données projet'!$A$36,$K$205^A94,IF(A94='Données projet'!$A$36,'Données projet'!$B$36,N93+M94-V93)))</f>
        <v>308.19999999999993</v>
      </c>
      <c r="O94" s="14">
        <f>N94*VLOOKUP('Données projet'!$B$9,Paramètres!$A$1:$I$89,3,0)*VLOOKUP('Données projet'!$B$9,Paramètres!$A$1:$I$89,5,0)</f>
        <v>278.85935999999992</v>
      </c>
      <c r="P94" s="14">
        <f t="shared" si="87"/>
        <v>66.725901622172387</v>
      </c>
      <c r="Q94" s="22">
        <f t="shared" si="54"/>
        <v>601.8943306586167</v>
      </c>
      <c r="R94" s="62">
        <f t="shared" si="55"/>
        <v>895.22766399195007</v>
      </c>
      <c r="S94" s="62">
        <f ca="1">AVERAGE(OFFSET($R$3,0,0,'Données projet'!$E$9+1,1))-AVERAGE(OFFSET($H$3,0,0,'Données projet'!$E$9+1,1))</f>
        <v>429.08375622925655</v>
      </c>
      <c r="T94" s="62">
        <f t="shared" si="88"/>
        <v>278.21741231699929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7.688034832210855E-9</v>
      </c>
      <c r="AC94" s="24">
        <f t="shared" si="57"/>
        <v>7.688034832210855E-9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6.2</v>
      </c>
      <c r="AI94" s="14">
        <f>IF('Données projet'!$A$62&gt;35,AI93+AH94-AQ93,IF(A94&lt;'Données projet'!$A$62,$AF$205^A94,IF(A94='Données projet'!$A$62,'Données projet'!$B$62,AI93+AH94-AQ93)))</f>
        <v>308.19999999999993</v>
      </c>
      <c r="AJ94" s="14">
        <f>AI94*VLOOKUP('Données projet'!$B$10,Paramètres!$A$1:$I$89,3,0)*VLOOKUP('Données projet'!$B$10,Paramètres!$A$1:$I$89,5,0)</f>
        <v>293.28311999999994</v>
      </c>
      <c r="AK94" s="14">
        <f t="shared" si="89"/>
        <v>69.766497077313801</v>
      </c>
      <c r="AL94" s="22">
        <f t="shared" si="58"/>
        <v>632.31141640965473</v>
      </c>
      <c r="AM94" s="62">
        <f t="shared" si="59"/>
        <v>925.6447497429881</v>
      </c>
      <c r="AN94" s="62">
        <f ca="1">AVERAGE(OFFSET($AM$3,0,0,'Données projet'!$E$10+1,1))-AVERAGE(OFFSET($H$3,0,0,'Données projet'!$E$10+1,1))</f>
        <v>449.16408464351673</v>
      </c>
      <c r="AO94" s="62">
        <f t="shared" si="90"/>
        <v>290.39826583283588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8.0856918062907315E-9</v>
      </c>
      <c r="AX94" s="23">
        <f t="shared" si="60"/>
        <v>8.0856918062907315E-9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6.2</v>
      </c>
      <c r="BD94" s="13">
        <f>IF('Données projet'!$A$88&gt;35,BD93+BC94-BL93,IF(A94&lt;'Données projet'!$A$88,$BA$205^A94,IF(A94='Données projet'!$A$88,'Données projet'!$B$88,BD93+BC94-BL93)))</f>
        <v>308.19999999999993</v>
      </c>
      <c r="BE94" s="14">
        <f>BD94*VLOOKUP('Données projet'!$B$11,Paramètres!$A$1:$I$89,3,0)*VLOOKUP('Données projet'!$B$11,Paramètres!$A$1:$I$89,5,0)</f>
        <v>298.09103999999991</v>
      </c>
      <c r="BF94" s="14">
        <f t="shared" si="91"/>
        <v>70.776123577436934</v>
      </c>
      <c r="BG94" s="22">
        <f t="shared" si="61"/>
        <v>642.44364323070249</v>
      </c>
      <c r="BH94" s="62">
        <f t="shared" si="62"/>
        <v>935.77697656403575</v>
      </c>
      <c r="BI94" s="62">
        <f ca="1">AVERAGE(OFFSET($BH$3,0,0,'Données projet'!$E$11+1,1))-AVERAGE(OFFSET($H$3,0,0,'Données projet'!$E$11+1,1))</f>
        <v>455.85294519779609</v>
      </c>
      <c r="BJ94" s="62">
        <f t="shared" si="92"/>
        <v>294.45557293177131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8.2182441309840198E-9</v>
      </c>
      <c r="BS94" s="24">
        <f t="shared" si="63"/>
        <v>8.2182441309840198E-9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5.6843418860808015E-14</v>
      </c>
      <c r="BZ94" s="14">
        <f>BY94*VLOOKUP('Données projet'!$B$12,Paramètres!$A$1:$I$89,3,0)*VLOOKUP('Données projet'!$B$12,Paramètres!$A$1:$I$89,5,0)</f>
        <v>4.9658410716801891E-14</v>
      </c>
      <c r="CA94" s="14">
        <f t="shared" si="93"/>
        <v>8.0934058173791862E-13</v>
      </c>
      <c r="CB94" s="22">
        <f t="shared" si="64"/>
        <v>1.4960899118586383E-12</v>
      </c>
      <c r="CC94" s="62">
        <f t="shared" si="65"/>
        <v>293.33333333333479</v>
      </c>
      <c r="CD94" s="62">
        <f ca="1">AVERAGE(OFFSET($CC$3,0,0,'Données projet'!$E$12+1,1))-AVERAGE(OFFSET($H$3,0,0,'Données projet'!$E$12+1,1))</f>
        <v>304.32767345253382</v>
      </c>
      <c r="CE94" s="62">
        <f t="shared" si="94"/>
        <v>427.16091343339173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-5.6843418860808015E-14</v>
      </c>
      <c r="CU94" s="18">
        <f>CT94*VLOOKUP('Données projet'!$B$13,Paramètres!$A$1:$I$89,3,0)*VLOOKUP('Données projet'!$B$13,Paramètres!$A$1:$I$89,5,0)</f>
        <v>-5.1431925385259088E-14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350.06545824795847</v>
      </c>
      <c r="CZ94" s="62">
        <f t="shared" si="96"/>
        <v>513.80016421153414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6.2</v>
      </c>
      <c r="DO94" s="13">
        <f>IF('Données projet'!$A$166&gt;35,DO93+DN94-DW93,IF(A94&lt;'Données projet'!$A$166,$DL$205^A94,IF(A94='Données projet'!$A$166,'Données projet'!$B$166,DO93+DN94-DW93)))</f>
        <v>308.19999999999993</v>
      </c>
      <c r="DP94" s="18">
        <f>DO94*VLOOKUP('Données projet'!$B$14,Paramètres!$A$1:$I$89,3,0)*VLOOKUP('Données projet'!$B$14,Paramètres!$A$1:$I$89,5,0)</f>
        <v>245.20391999999995</v>
      </c>
      <c r="DQ94" s="14">
        <f t="shared" si="97"/>
        <v>59.557777551073727</v>
      </c>
      <c r="DR94" s="22">
        <f t="shared" si="70"/>
        <v>530.79328990145325</v>
      </c>
      <c r="DS94" s="62">
        <f t="shared" si="71"/>
        <v>824.12662323478662</v>
      </c>
      <c r="DT94" s="62">
        <f ca="1">AVERAGE(OFFSET($DS$3,0,0,'Données projet'!$E$14+1,1))-AVERAGE(OFFSET($H$3,0,0,'Données projet'!$E$14+1,1))</f>
        <v>382.14353215900121</v>
      </c>
      <c r="DU94" s="62">
        <f t="shared" si="98"/>
        <v>249.73945975250177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6.7601685593578262E-9</v>
      </c>
      <c r="ED94" s="24">
        <f t="shared" si="72"/>
        <v>6.7601685593578262E-9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6.2</v>
      </c>
      <c r="N95" s="14">
        <f>IF('Données projet'!$A$36&gt;35,N94+M95-V94,IF(A95&lt;'Données projet'!$A$36,$K$205^A95,IF(A95='Données projet'!$A$36,'Données projet'!$B$36,N94+M95-V94)))</f>
        <v>314.39999999999992</v>
      </c>
      <c r="O95" s="14">
        <f>N95*VLOOKUP('Données projet'!$B$9,Paramètres!$A$1:$I$89,3,0)*VLOOKUP('Données projet'!$B$9,Paramètres!$A$1:$I$89,5,0)</f>
        <v>284.46911999999992</v>
      </c>
      <c r="P95" s="14">
        <f t="shared" si="87"/>
        <v>67.91059023737904</v>
      </c>
      <c r="Q95" s="22">
        <f t="shared" si="54"/>
        <v>613.72799533010163</v>
      </c>
      <c r="R95" s="62">
        <f t="shared" si="55"/>
        <v>907.06132866343501</v>
      </c>
      <c r="S95" s="62">
        <f ca="1">AVERAGE(OFFSET($R$3,0,0,'Données projet'!$E$9+1,1))-AVERAGE(OFFSET($H$3,0,0,'Données projet'!$E$9+1,1))</f>
        <v>429.08375622925655</v>
      </c>
      <c r="T95" s="62">
        <f t="shared" si="88"/>
        <v>278.21741231699929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5.4362615638546769E-9</v>
      </c>
      <c r="AC95" s="24">
        <f t="shared" si="57"/>
        <v>5.4362615638546769E-9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6.2</v>
      </c>
      <c r="AI95" s="14">
        <f>IF('Données projet'!$A$62&gt;35,AI94+AH95-AQ94,IF(A95&lt;'Données projet'!$A$62,$AF$205^A95,IF(A95='Données projet'!$A$62,'Données projet'!$B$62,AI94+AH95-AQ94)))</f>
        <v>314.39999999999992</v>
      </c>
      <c r="AJ95" s="14">
        <f>AI95*VLOOKUP('Données projet'!$B$10,Paramètres!$A$1:$I$89,3,0)*VLOOKUP('Données projet'!$B$10,Paramètres!$A$1:$I$89,5,0)</f>
        <v>299.18303999999989</v>
      </c>
      <c r="AK95" s="14">
        <f t="shared" si="89"/>
        <v>71.005170108340749</v>
      </c>
      <c r="AL95" s="22">
        <f t="shared" si="58"/>
        <v>644.74446593869322</v>
      </c>
      <c r="AM95" s="62">
        <f t="shared" si="59"/>
        <v>938.0777992720266</v>
      </c>
      <c r="AN95" s="62">
        <f ca="1">AVERAGE(OFFSET($AM$3,0,0,'Données projet'!$E$10+1,1))-AVERAGE(OFFSET($H$3,0,0,'Données projet'!$E$10+1,1))</f>
        <v>449.16408464351673</v>
      </c>
      <c r="AO95" s="62">
        <f t="shared" si="90"/>
        <v>290.39826583283588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5.7174475068126806E-9</v>
      </c>
      <c r="AX95" s="23">
        <f t="shared" si="60"/>
        <v>5.7174475068126806E-9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6.2</v>
      </c>
      <c r="BD95" s="13">
        <f>IF('Données projet'!$A$88&gt;35,BD94+BC95-BL94,IF(A95&lt;'Données projet'!$A$88,$BA$205^A95,IF(A95='Données projet'!$A$88,'Données projet'!$B$88,BD94+BC95-BL94)))</f>
        <v>314.39999999999992</v>
      </c>
      <c r="BE95" s="14">
        <f>BD95*VLOOKUP('Données projet'!$B$11,Paramètres!$A$1:$I$89,3,0)*VLOOKUP('Données projet'!$B$11,Paramètres!$A$1:$I$89,5,0)</f>
        <v>304.08767999999992</v>
      </c>
      <c r="BF95" s="14">
        <f t="shared" si="91"/>
        <v>72.032722076553981</v>
      </c>
      <c r="BG95" s="22">
        <f t="shared" si="61"/>
        <v>655.07636694999792</v>
      </c>
      <c r="BH95" s="62">
        <f t="shared" si="62"/>
        <v>948.40970028333118</v>
      </c>
      <c r="BI95" s="62">
        <f ca="1">AVERAGE(OFFSET($BH$3,0,0,'Données projet'!$E$11+1,1))-AVERAGE(OFFSET($H$3,0,0,'Données projet'!$E$11+1,1))</f>
        <v>455.85294519779609</v>
      </c>
      <c r="BJ95" s="62">
        <f t="shared" si="92"/>
        <v>294.45557293177131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5.8111761544653457E-9</v>
      </c>
      <c r="BS95" s="24">
        <f t="shared" si="63"/>
        <v>5.8111761544653457E-9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5.6843418860808015E-14</v>
      </c>
      <c r="BZ95" s="14">
        <f>BY95*VLOOKUP('Données projet'!$B$12,Paramètres!$A$1:$I$89,3,0)*VLOOKUP('Données projet'!$B$12,Paramètres!$A$1:$I$89,5,0)</f>
        <v>4.9658410716801891E-14</v>
      </c>
      <c r="CA95" s="14">
        <f t="shared" si="93"/>
        <v>8.0934058173791862E-13</v>
      </c>
      <c r="CB95" s="22">
        <f t="shared" si="64"/>
        <v>1.4960899118586383E-12</v>
      </c>
      <c r="CC95" s="62">
        <f t="shared" si="65"/>
        <v>293.33333333333479</v>
      </c>
      <c r="CD95" s="62">
        <f ca="1">AVERAGE(OFFSET($CC$3,0,0,'Données projet'!$E$12+1,1))-AVERAGE(OFFSET($H$3,0,0,'Données projet'!$E$12+1,1))</f>
        <v>304.32767345253382</v>
      </c>
      <c r="CE95" s="62">
        <f t="shared" si="94"/>
        <v>427.16091343339173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-5.6843418860808015E-14</v>
      </c>
      <c r="CU95" s="18">
        <f>CT95*VLOOKUP('Données projet'!$B$13,Paramètres!$A$1:$I$89,3,0)*VLOOKUP('Données projet'!$B$13,Paramètres!$A$1:$I$89,5,0)</f>
        <v>-5.1431925385259088E-14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350.06545824795847</v>
      </c>
      <c r="CZ95" s="62">
        <f t="shared" si="96"/>
        <v>513.80016421153414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6.2</v>
      </c>
      <c r="DO95" s="13">
        <f>IF('Données projet'!$A$166&gt;35,DO94+DN95-DW94,IF(A95&lt;'Données projet'!$A$166,$DL$205^A95,IF(A95='Données projet'!$A$166,'Données projet'!$B$166,DO94+DN95-DW94)))</f>
        <v>314.39999999999992</v>
      </c>
      <c r="DP95" s="18">
        <f>DO95*VLOOKUP('Données projet'!$B$14,Paramètres!$A$1:$I$89,3,0)*VLOOKUP('Données projet'!$B$14,Paramètres!$A$1:$I$89,5,0)</f>
        <v>250.13663999999994</v>
      </c>
      <c r="DQ95" s="14">
        <f t="shared" si="97"/>
        <v>60.615199321277565</v>
      </c>
      <c r="DR95" s="22">
        <f t="shared" si="70"/>
        <v>541.22612015122502</v>
      </c>
      <c r="DS95" s="62">
        <f t="shared" si="71"/>
        <v>834.55945348455839</v>
      </c>
      <c r="DT95" s="62">
        <f ca="1">AVERAGE(OFFSET($DS$3,0,0,'Données projet'!$E$14+1,1))-AVERAGE(OFFSET($H$3,0,0,'Données projet'!$E$14+1,1))</f>
        <v>382.14353215900121</v>
      </c>
      <c r="DU95" s="62">
        <f t="shared" si="98"/>
        <v>249.73945975250177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4.7801610302860126E-9</v>
      </c>
      <c r="ED95" s="24">
        <f t="shared" si="72"/>
        <v>4.7801610302860126E-9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6.2</v>
      </c>
      <c r="N96" s="14">
        <f>IF('Données projet'!$A$36&gt;35,N95+M96-V95,IF(A96&lt;'Données projet'!$A$36,$K$205^A96,IF(A96='Données projet'!$A$36,'Données projet'!$B$36,N95+M96-V95)))</f>
        <v>320.59999999999991</v>
      </c>
      <c r="O96" s="14">
        <f>N96*VLOOKUP('Données projet'!$B$9,Paramètres!$A$1:$I$89,3,0)*VLOOKUP('Données projet'!$B$9,Paramètres!$A$1:$I$89,5,0)</f>
        <v>290.07887999999991</v>
      </c>
      <c r="P96" s="14">
        <f t="shared" si="87"/>
        <v>69.092562427360406</v>
      </c>
      <c r="Q96" s="22">
        <f t="shared" si="54"/>
        <v>625.55692889431919</v>
      </c>
      <c r="R96" s="62">
        <f t="shared" si="55"/>
        <v>918.89026222765256</v>
      </c>
      <c r="S96" s="62">
        <f ca="1">AVERAGE(OFFSET($R$3,0,0,'Données projet'!$E$9+1,1))-AVERAGE(OFFSET($H$3,0,0,'Données projet'!$E$9+1,1))</f>
        <v>429.08375622925655</v>
      </c>
      <c r="T96" s="62">
        <f t="shared" si="88"/>
        <v>278.21741231699929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3.8440174161054275E-9</v>
      </c>
      <c r="AC96" s="24">
        <f t="shared" si="57"/>
        <v>3.8440174161054275E-9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6.2</v>
      </c>
      <c r="AI96" s="14">
        <f>IF('Données projet'!$A$62&gt;35,AI95+AH96-AQ95,IF(A96&lt;'Données projet'!$A$62,$AF$205^A96,IF(A96='Données projet'!$A$62,'Données projet'!$B$62,AI95+AH96-AQ95)))</f>
        <v>320.59999999999991</v>
      </c>
      <c r="AJ96" s="14">
        <f>AI96*VLOOKUP('Données projet'!$B$10,Paramètres!$A$1:$I$89,3,0)*VLOOKUP('Données projet'!$B$10,Paramètres!$A$1:$I$89,5,0)</f>
        <v>305.0829599999999</v>
      </c>
      <c r="AK96" s="14">
        <f t="shared" si="89"/>
        <v>72.241002930873947</v>
      </c>
      <c r="AL96" s="22">
        <f t="shared" si="58"/>
        <v>657.17256877127193</v>
      </c>
      <c r="AM96" s="62">
        <f t="shared" si="59"/>
        <v>950.50590210460518</v>
      </c>
      <c r="AN96" s="62">
        <f ca="1">AVERAGE(OFFSET($AM$3,0,0,'Données projet'!$E$10+1,1))-AVERAGE(OFFSET($H$3,0,0,'Données projet'!$E$10+1,1))</f>
        <v>449.16408464351673</v>
      </c>
      <c r="AO96" s="62">
        <f t="shared" si="90"/>
        <v>290.39826583283588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4.0428459031453657E-9</v>
      </c>
      <c r="AX96" s="23">
        <f t="shared" si="60"/>
        <v>4.0428459031453657E-9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6.2</v>
      </c>
      <c r="BD96" s="13">
        <f>IF('Données projet'!$A$88&gt;35,BD95+BC96-BL95,IF(A96&lt;'Données projet'!$A$88,$BA$205^A96,IF(A96='Données projet'!$A$88,'Données projet'!$B$88,BD95+BC96-BL95)))</f>
        <v>320.59999999999991</v>
      </c>
      <c r="BE96" s="14">
        <f>BD96*VLOOKUP('Données projet'!$B$11,Paramètres!$A$1:$I$89,3,0)*VLOOKUP('Données projet'!$B$11,Paramètres!$A$1:$I$89,5,0)</f>
        <v>310.08431999999993</v>
      </c>
      <c r="BF96" s="14">
        <f t="shared" si="91"/>
        <v>73.286439265073966</v>
      </c>
      <c r="BG96" s="22">
        <f t="shared" si="61"/>
        <v>667.70407238667042</v>
      </c>
      <c r="BH96" s="62">
        <f t="shared" si="62"/>
        <v>961.03740572000379</v>
      </c>
      <c r="BI96" s="62">
        <f ca="1">AVERAGE(OFFSET($BH$3,0,0,'Données projet'!$E$11+1,1))-AVERAGE(OFFSET($H$3,0,0,'Données projet'!$E$11+1,1))</f>
        <v>455.85294519779609</v>
      </c>
      <c r="BJ96" s="62">
        <f t="shared" si="92"/>
        <v>294.45557293177131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4.1091220654920099E-9</v>
      </c>
      <c r="BS96" s="24">
        <f t="shared" si="63"/>
        <v>4.1091220654920099E-9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5.6843418860808015E-14</v>
      </c>
      <c r="BZ96" s="14">
        <f>BY96*VLOOKUP('Données projet'!$B$12,Paramètres!$A$1:$I$89,3,0)*VLOOKUP('Données projet'!$B$12,Paramètres!$A$1:$I$89,5,0)</f>
        <v>4.9658410716801891E-14</v>
      </c>
      <c r="CA96" s="14">
        <f t="shared" si="93"/>
        <v>8.0934058173791862E-13</v>
      </c>
      <c r="CB96" s="22">
        <f t="shared" si="64"/>
        <v>1.4960899118586383E-12</v>
      </c>
      <c r="CC96" s="62">
        <f t="shared" si="65"/>
        <v>293.33333333333479</v>
      </c>
      <c r="CD96" s="62">
        <f ca="1">AVERAGE(OFFSET($CC$3,0,0,'Données projet'!$E$12+1,1))-AVERAGE(OFFSET($H$3,0,0,'Données projet'!$E$12+1,1))</f>
        <v>304.32767345253382</v>
      </c>
      <c r="CE96" s="62">
        <f t="shared" si="94"/>
        <v>427.16091343339173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-5.6843418860808015E-14</v>
      </c>
      <c r="CU96" s="18">
        <f>CT96*VLOOKUP('Données projet'!$B$13,Paramètres!$A$1:$I$89,3,0)*VLOOKUP('Données projet'!$B$13,Paramètres!$A$1:$I$89,5,0)</f>
        <v>-5.1431925385259088E-14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350.06545824795847</v>
      </c>
      <c r="CZ96" s="62">
        <f t="shared" si="96"/>
        <v>513.80016421153414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6.2</v>
      </c>
      <c r="DO96" s="13">
        <f>IF('Données projet'!$A$166&gt;35,DO95+DN96-DW95,IF(A96&lt;'Données projet'!$A$166,$DL$205^A96,IF(A96='Données projet'!$A$166,'Données projet'!$B$166,DO95+DN96-DW95)))</f>
        <v>320.59999999999991</v>
      </c>
      <c r="DP96" s="18">
        <f>DO96*VLOOKUP('Données projet'!$B$14,Paramètres!$A$1:$I$89,3,0)*VLOOKUP('Données projet'!$B$14,Paramètres!$A$1:$I$89,5,0)</f>
        <v>255.06935999999993</v>
      </c>
      <c r="DQ96" s="14">
        <f t="shared" si="97"/>
        <v>61.67019648206643</v>
      </c>
      <c r="DR96" s="22">
        <f t="shared" si="70"/>
        <v>551.65472753959887</v>
      </c>
      <c r="DS96" s="62">
        <f t="shared" si="71"/>
        <v>844.98806087293224</v>
      </c>
      <c r="DT96" s="62">
        <f ca="1">AVERAGE(OFFSET($DS$3,0,0,'Données projet'!$E$14+1,1))-AVERAGE(OFFSET($H$3,0,0,'Données projet'!$E$14+1,1))</f>
        <v>382.14353215900121</v>
      </c>
      <c r="DU96" s="62">
        <f t="shared" si="98"/>
        <v>249.73945975250177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3.3800842796789131E-9</v>
      </c>
      <c r="ED96" s="24">
        <f t="shared" si="72"/>
        <v>3.3800842796789131E-9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6.2</v>
      </c>
      <c r="N97" s="14">
        <f>IF('Données projet'!$A$36&gt;35,N96+M97-V96,IF(A97&lt;'Données projet'!$A$36,$K$205^A97,IF(A97='Données projet'!$A$36,'Données projet'!$B$36,N96+M97-V96)))</f>
        <v>326.7999999999999</v>
      </c>
      <c r="O97" s="14">
        <f>N97*VLOOKUP('Données projet'!$B$9,Paramètres!$A$1:$I$89,3,0)*VLOOKUP('Données projet'!$B$9,Paramètres!$A$1:$I$89,5,0)</f>
        <v>295.68863999999991</v>
      </c>
      <c r="P97" s="14">
        <f t="shared" si="87"/>
        <v>70.271876780519747</v>
      </c>
      <c r="Q97" s="22">
        <f t="shared" si="54"/>
        <v>637.3812333927383</v>
      </c>
      <c r="R97" s="62">
        <f t="shared" si="55"/>
        <v>930.71456672607155</v>
      </c>
      <c r="S97" s="62">
        <f ca="1">AVERAGE(OFFSET($R$3,0,0,'Données projet'!$E$9+1,1))-AVERAGE(OFFSET($H$3,0,0,'Données projet'!$E$9+1,1))</f>
        <v>429.08375622925655</v>
      </c>
      <c r="T97" s="62">
        <f t="shared" si="88"/>
        <v>278.21741231699929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2.7181307819273384E-9</v>
      </c>
      <c r="AC97" s="24">
        <f t="shared" si="57"/>
        <v>2.7181307819273384E-9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6.2</v>
      </c>
      <c r="AI97" s="14">
        <f>IF('Données projet'!$A$62&gt;35,AI96+AH97-AQ96,IF(A97&lt;'Données projet'!$A$62,$AF$205^A97,IF(A97='Données projet'!$A$62,'Données projet'!$B$62,AI96+AH97-AQ96)))</f>
        <v>326.7999999999999</v>
      </c>
      <c r="AJ97" s="14">
        <f>AI97*VLOOKUP('Données projet'!$B$10,Paramètres!$A$1:$I$89,3,0)*VLOOKUP('Données projet'!$B$10,Paramètres!$A$1:$I$89,5,0)</f>
        <v>310.98287999999991</v>
      </c>
      <c r="AK97" s="14">
        <f t="shared" si="89"/>
        <v>73.47405680309889</v>
      </c>
      <c r="AL97" s="22">
        <f t="shared" si="58"/>
        <v>669.59583159873046</v>
      </c>
      <c r="AM97" s="62">
        <f t="shared" si="59"/>
        <v>962.92916493206371</v>
      </c>
      <c r="AN97" s="62">
        <f ca="1">AVERAGE(OFFSET($AM$3,0,0,'Données projet'!$E$10+1,1))-AVERAGE(OFFSET($H$3,0,0,'Données projet'!$E$10+1,1))</f>
        <v>449.16408464351673</v>
      </c>
      <c r="AO97" s="62">
        <f t="shared" si="90"/>
        <v>290.39826583283588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2.8587237534063403E-9</v>
      </c>
      <c r="AX97" s="23">
        <f t="shared" si="60"/>
        <v>2.8587237534063403E-9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6.2</v>
      </c>
      <c r="BD97" s="13">
        <f>IF('Données projet'!$A$88&gt;35,BD96+BC97-BL96,IF(A97&lt;'Données projet'!$A$88,$BA$205^A97,IF(A97='Données projet'!$A$88,'Données projet'!$B$88,BD96+BC97-BL96)))</f>
        <v>326.7999999999999</v>
      </c>
      <c r="BE97" s="14">
        <f>BD97*VLOOKUP('Données projet'!$B$11,Paramètres!$A$1:$I$89,3,0)*VLOOKUP('Données projet'!$B$11,Paramètres!$A$1:$I$89,5,0)</f>
        <v>316.08095999999989</v>
      </c>
      <c r="BF97" s="14">
        <f t="shared" si="91"/>
        <v>74.537337287681041</v>
      </c>
      <c r="BG97" s="22">
        <f t="shared" si="61"/>
        <v>680.32686777604431</v>
      </c>
      <c r="BH97" s="62">
        <f t="shared" si="62"/>
        <v>973.66020110937757</v>
      </c>
      <c r="BI97" s="62">
        <f ca="1">AVERAGE(OFFSET($BH$3,0,0,'Données projet'!$E$11+1,1))-AVERAGE(OFFSET($H$3,0,0,'Données projet'!$E$11+1,1))</f>
        <v>455.85294519779609</v>
      </c>
      <c r="BJ97" s="62">
        <f t="shared" si="92"/>
        <v>294.45557293177131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2.9055880772326729E-9</v>
      </c>
      <c r="BS97" s="24">
        <f t="shared" si="63"/>
        <v>2.9055880772326729E-9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5.6843418860808015E-14</v>
      </c>
      <c r="BZ97" s="14">
        <f>BY97*VLOOKUP('Données projet'!$B$12,Paramètres!$A$1:$I$89,3,0)*VLOOKUP('Données projet'!$B$12,Paramètres!$A$1:$I$89,5,0)</f>
        <v>4.9658410716801891E-14</v>
      </c>
      <c r="CA97" s="14">
        <f t="shared" si="93"/>
        <v>8.0934058173791862E-13</v>
      </c>
      <c r="CB97" s="22">
        <f t="shared" si="64"/>
        <v>1.4960899118586383E-12</v>
      </c>
      <c r="CC97" s="62">
        <f t="shared" si="65"/>
        <v>293.33333333333479</v>
      </c>
      <c r="CD97" s="62">
        <f ca="1">AVERAGE(OFFSET($CC$3,0,0,'Données projet'!$E$12+1,1))-AVERAGE(OFFSET($H$3,0,0,'Données projet'!$E$12+1,1))</f>
        <v>304.32767345253382</v>
      </c>
      <c r="CE97" s="62">
        <f t="shared" si="94"/>
        <v>427.16091343339173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-5.6843418860808015E-14</v>
      </c>
      <c r="CU97" s="18">
        <f>CT97*VLOOKUP('Données projet'!$B$13,Paramètres!$A$1:$I$89,3,0)*VLOOKUP('Données projet'!$B$13,Paramètres!$A$1:$I$89,5,0)</f>
        <v>-5.1431925385259088E-14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350.06545824795847</v>
      </c>
      <c r="CZ97" s="62">
        <f t="shared" si="96"/>
        <v>513.80016421153414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6.2</v>
      </c>
      <c r="DO97" s="13">
        <f>IF('Données projet'!$A$166&gt;35,DO96+DN97-DW96,IF(A97&lt;'Données projet'!$A$166,$DL$205^A97,IF(A97='Données projet'!$A$166,'Données projet'!$B$166,DO96+DN97-DW96)))</f>
        <v>326.7999999999999</v>
      </c>
      <c r="DP97" s="18">
        <f>DO97*VLOOKUP('Données projet'!$B$14,Paramètres!$A$1:$I$89,3,0)*VLOOKUP('Données projet'!$B$14,Paramètres!$A$1:$I$89,5,0)</f>
        <v>260.00207999999992</v>
      </c>
      <c r="DQ97" s="14">
        <f t="shared" si="97"/>
        <v>62.722821327901542</v>
      </c>
      <c r="DR97" s="22">
        <f t="shared" si="70"/>
        <v>562.0792031460951</v>
      </c>
      <c r="DS97" s="62">
        <f t="shared" si="71"/>
        <v>855.41253647942835</v>
      </c>
      <c r="DT97" s="62">
        <f ca="1">AVERAGE(OFFSET($DS$3,0,0,'Données projet'!$E$14+1,1))-AVERAGE(OFFSET($H$3,0,0,'Données projet'!$E$14+1,1))</f>
        <v>382.14353215900121</v>
      </c>
      <c r="DU97" s="62">
        <f t="shared" si="98"/>
        <v>249.73945975250177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2.3900805151430063E-9</v>
      </c>
      <c r="ED97" s="24">
        <f t="shared" si="72"/>
        <v>2.3900805151430063E-9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333</v>
      </c>
      <c r="L98" s="13">
        <f>VLOOKUP(A98,'Données projet'!$A$35:$I$55,9,0)</f>
        <v>6.2</v>
      </c>
      <c r="M98" s="13">
        <f t="array" ref="M98">INDEX(L:L,MIN(IF(ISNUMBER(L98:L294),ROW(L98:L294),"")))</f>
        <v>6.2</v>
      </c>
      <c r="N98" s="14">
        <f>IF('Données projet'!$A$36&gt;35,N97+M98-V97,IF(A98&lt;'Données projet'!$A$36,$K$205^A98,IF(A98='Données projet'!$A$36,'Données projet'!$B$36,N97+M98-V97)))</f>
        <v>332.99999999999989</v>
      </c>
      <c r="O98" s="14">
        <f>N98*VLOOKUP('Données projet'!$B$9,Paramètres!$A$1:$I$89,3,0)*VLOOKUP('Données projet'!$B$9,Paramètres!$A$1:$I$89,5,0)</f>
        <v>301.2983999999999</v>
      </c>
      <c r="P98" s="14">
        <f t="shared" si="87"/>
        <v>71.448589534990518</v>
      </c>
      <c r="Q98" s="22">
        <f t="shared" si="54"/>
        <v>649.20100677344158</v>
      </c>
      <c r="R98" s="62">
        <f t="shared" si="55"/>
        <v>942.53434010677483</v>
      </c>
      <c r="S98" s="62">
        <f ca="1">AVERAGE(OFFSET($R$3,0,0,'Données projet'!$E$9+1,1))-AVERAGE(OFFSET($H$3,0,0,'Données projet'!$E$9+1,1))</f>
        <v>429.08375622925655</v>
      </c>
      <c r="T98" s="62">
        <f t="shared" si="88"/>
        <v>278.21741231699929</v>
      </c>
      <c r="U98" s="16">
        <f>IF(ISNA(VLOOKUP(A98,'Données projet'!$A$35:$I$55,3,0)),0,VLOOKUP(A98,'Données projet'!$A$35:$I$55,3,0))</f>
        <v>16</v>
      </c>
      <c r="V98" s="16">
        <f>IF(ISNA(VLOOKUP(A98,'Données projet'!$A$35:$I$55,4,0)),0,VLOOKUP(A98,'Données projet'!$A$35:$I$55,4,0))</f>
        <v>28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1.9220087080527138E-9</v>
      </c>
      <c r="AC98" s="24">
        <f t="shared" si="57"/>
        <v>1.9220087080527138E-9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333</v>
      </c>
      <c r="AG98" s="13">
        <f>VLOOKUP(A98,'Données projet'!$A$61:$I$81,9,0)</f>
        <v>6.2</v>
      </c>
      <c r="AH98" s="13">
        <f t="array" ref="AH98">INDEX(AG:AG,MIN(IF(ISNUMBER(AG98:AG294),ROW(AG98:AG294),"")))</f>
        <v>6.2</v>
      </c>
      <c r="AI98" s="14">
        <f>IF('Données projet'!$A$62&gt;35,AI97+AH98-AQ97,IF(A98&lt;'Données projet'!$A$62,$AF$205^A98,IF(A98='Données projet'!$A$62,'Données projet'!$B$62,AI97+AH98-AQ97)))</f>
        <v>332.99999999999989</v>
      </c>
      <c r="AJ98" s="14">
        <f>AI98*VLOOKUP('Données projet'!$B$10,Paramètres!$A$1:$I$89,3,0)*VLOOKUP('Données projet'!$B$10,Paramètres!$A$1:$I$89,5,0)</f>
        <v>316.88279999999992</v>
      </c>
      <c r="AK98" s="14">
        <f t="shared" si="89"/>
        <v>74.70439052583346</v>
      </c>
      <c r="AL98" s="22">
        <f t="shared" si="58"/>
        <v>682.01435683249304</v>
      </c>
      <c r="AM98" s="62">
        <f t="shared" si="59"/>
        <v>975.34769016582641</v>
      </c>
      <c r="AN98" s="62">
        <f ca="1">AVERAGE(OFFSET($AM$3,0,0,'Données projet'!$E$10+1,1))-AVERAGE(OFFSET($H$3,0,0,'Données projet'!$E$10+1,1))</f>
        <v>449.16408464351673</v>
      </c>
      <c r="AO98" s="62">
        <f t="shared" si="90"/>
        <v>290.39826583283588</v>
      </c>
      <c r="AP98" s="16">
        <f>IF(ISNA(VLOOKUP(A98,'Données projet'!$A$61:$I$81,3,0)),0,VLOOKUP(A98,'Données projet'!$A$61:$I$81,3,0))</f>
        <v>16</v>
      </c>
      <c r="AQ98" s="16">
        <f>IF(ISNA(VLOOKUP(A98,'Données projet'!$A$61:$I$81,4,0)),0,VLOOKUP(A98,'Données projet'!$A$61:$I$81,4,0))</f>
        <v>28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2.0214229515726829E-9</v>
      </c>
      <c r="AX98" s="23">
        <f t="shared" si="60"/>
        <v>2.0214229515726829E-9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333</v>
      </c>
      <c r="BB98" s="13">
        <f>VLOOKUP(A98,'Données projet'!$A$87:$I$107,9,0)</f>
        <v>6.2</v>
      </c>
      <c r="BC98" s="13">
        <f t="array" ref="BC98">INDEX(BB:BB,MIN(IF(ISNUMBER(BB98:BB294),ROW(BB98:BB294),"")))</f>
        <v>6.2</v>
      </c>
      <c r="BD98" s="13">
        <f>IF('Données projet'!$A$88&gt;35,BD97+BC98-BL97,IF(A98&lt;'Données projet'!$A$88,$BA$205^A98,IF(A98='Données projet'!$A$88,'Données projet'!$B$88,BD97+BC98-BL97)))</f>
        <v>332.99999999999989</v>
      </c>
      <c r="BE98" s="14">
        <f>BD98*VLOOKUP('Données projet'!$B$11,Paramètres!$A$1:$I$89,3,0)*VLOOKUP('Données projet'!$B$11,Paramètres!$A$1:$I$89,5,0)</f>
        <v>322.0775999999999</v>
      </c>
      <c r="BF98" s="14">
        <f t="shared" si="91"/>
        <v>75.785475796129404</v>
      </c>
      <c r="BG98" s="22">
        <f t="shared" si="61"/>
        <v>692.94485701159181</v>
      </c>
      <c r="BH98" s="62">
        <f t="shared" si="62"/>
        <v>986.27819034492518</v>
      </c>
      <c r="BI98" s="62">
        <f ca="1">AVERAGE(OFFSET($BH$3,0,0,'Données projet'!$E$11+1,1))-AVERAGE(OFFSET($H$3,0,0,'Données projet'!$E$11+1,1))</f>
        <v>455.85294519779609</v>
      </c>
      <c r="BJ98" s="62">
        <f t="shared" si="92"/>
        <v>294.45557293177131</v>
      </c>
      <c r="BK98" s="16">
        <f>IF(ISNA(VLOOKUP(A98,'Données projet'!$A$87:$I$107,3,0)),0,VLOOKUP(A98,'Données projet'!$A$87:$I$107,3,0))</f>
        <v>16</v>
      </c>
      <c r="BL98" s="16">
        <f>IF(ISNA(VLOOKUP(A98,'Données projet'!$A$87:$I$107,4,0)),0,VLOOKUP(A98,'Données projet'!$A$87:$I$107,4,0))</f>
        <v>28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2.0545610327460049E-9</v>
      </c>
      <c r="BS98" s="24">
        <f t="shared" si="63"/>
        <v>2.0545610327460049E-9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5.6843418860808015E-14</v>
      </c>
      <c r="BZ98" s="14">
        <f>BY98*VLOOKUP('Données projet'!$B$12,Paramètres!$A$1:$I$89,3,0)*VLOOKUP('Données projet'!$B$12,Paramètres!$A$1:$I$89,5,0)</f>
        <v>4.9658410716801891E-14</v>
      </c>
      <c r="CA98" s="14">
        <f t="shared" si="93"/>
        <v>8.0934058173791862E-13</v>
      </c>
      <c r="CB98" s="22">
        <f t="shared" si="64"/>
        <v>1.4960899118586383E-12</v>
      </c>
      <c r="CC98" s="62">
        <f t="shared" si="65"/>
        <v>293.33333333333479</v>
      </c>
      <c r="CD98" s="62">
        <f ca="1">AVERAGE(OFFSET($CC$3,0,0,'Données projet'!$E$12+1,1))-AVERAGE(OFFSET($H$3,0,0,'Données projet'!$E$12+1,1))</f>
        <v>304.32767345253382</v>
      </c>
      <c r="CE98" s="62">
        <f t="shared" si="94"/>
        <v>427.16091343339173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-5.6843418860808015E-14</v>
      </c>
      <c r="CU98" s="18">
        <f>CT98*VLOOKUP('Données projet'!$B$13,Paramètres!$A$1:$I$89,3,0)*VLOOKUP('Données projet'!$B$13,Paramètres!$A$1:$I$89,5,0)</f>
        <v>-5.1431925385259088E-14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350.06545824795847</v>
      </c>
      <c r="CZ98" s="62">
        <f t="shared" si="96"/>
        <v>513.80016421153414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>
        <f>VLOOKUP(A98,'Données projet'!$A$165:$I$185,2,0)</f>
        <v>333</v>
      </c>
      <c r="DM98" s="13">
        <f>VLOOKUP(A98,'Données projet'!$A$165:$I$185,9,0)</f>
        <v>6.2</v>
      </c>
      <c r="DN98" s="13">
        <f t="array" ref="DN98">INDEX(DM:DM,MIN(IF(ISNUMBER(DM98:DM294),ROW(DM98:DM294),"")))</f>
        <v>6.2</v>
      </c>
      <c r="DO98" s="13">
        <f>IF('Données projet'!$A$166&gt;35,DO97+DN98-DW97,IF(A98&lt;'Données projet'!$A$166,$DL$205^A98,IF(A98='Données projet'!$A$166,'Données projet'!$B$166,DO97+DN98-DW97)))</f>
        <v>332.99999999999989</v>
      </c>
      <c r="DP98" s="18">
        <f>DO98*VLOOKUP('Données projet'!$B$14,Paramètres!$A$1:$I$89,3,0)*VLOOKUP('Données projet'!$B$14,Paramètres!$A$1:$I$89,5,0)</f>
        <v>264.93479999999994</v>
      </c>
      <c r="DQ98" s="14">
        <f t="shared" si="97"/>
        <v>63.77312405545576</v>
      </c>
      <c r="DR98" s="22">
        <f t="shared" si="70"/>
        <v>572.49963439658529</v>
      </c>
      <c r="DS98" s="62">
        <f t="shared" si="71"/>
        <v>865.83296772991866</v>
      </c>
      <c r="DT98" s="62">
        <f ca="1">AVERAGE(OFFSET($DS$3,0,0,'Données projet'!$E$14+1,1))-AVERAGE(OFFSET($H$3,0,0,'Données projet'!$E$14+1,1))</f>
        <v>382.14353215900121</v>
      </c>
      <c r="DU98" s="62">
        <f t="shared" si="98"/>
        <v>249.73945975250177</v>
      </c>
      <c r="DV98" s="16">
        <f>IF(ISNA(VLOOKUP(A98,'Données projet'!$A$165:$I$185,3,0)),0,VLOOKUP(A98,'Données projet'!$A$165:$I$185,3,0))</f>
        <v>16</v>
      </c>
      <c r="DW98" s="16">
        <f>IF(ISNA(VLOOKUP(A98,'Données projet'!$A$165:$I$185,4,0)),0,VLOOKUP(A98,'Données projet'!$A$165:$I$185,4,0))</f>
        <v>28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1.6900421398394566E-9</v>
      </c>
      <c r="ED98" s="24">
        <f t="shared" si="72"/>
        <v>1.6900421398394566E-9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5.6</v>
      </c>
      <c r="N99" s="14">
        <f>IF('Données projet'!$A$36&gt;35,N98+M99-V98,IF(A99&lt;'Données projet'!$A$36,$K$205^A99,IF(A99='Données projet'!$A$36,'Données projet'!$B$36,N98+M99-V98)))</f>
        <v>310.59999999999991</v>
      </c>
      <c r="O99" s="14">
        <f>N99*VLOOKUP('Données projet'!$B$9,Paramètres!$A$1:$I$89,3,0)*VLOOKUP('Données projet'!$B$9,Paramètres!$A$1:$I$89,5,0)</f>
        <v>281.03087999999991</v>
      </c>
      <c r="P99" s="14">
        <f t="shared" si="87"/>
        <v>67.184816842275467</v>
      </c>
      <c r="Q99" s="22">
        <f t="shared" ref="Q99:Q130" si="107">(O99+P99)*0.475*44/12</f>
        <v>606.4756720002963</v>
      </c>
      <c r="R99" s="62">
        <f t="shared" si="55"/>
        <v>899.80900533362956</v>
      </c>
      <c r="S99" s="62">
        <f ca="1">AVERAGE(OFFSET($R$3,0,0,'Données projet'!$E$9+1,1))-AVERAGE(OFFSET($H$3,0,0,'Données projet'!$E$9+1,1))</f>
        <v>429.08375622925655</v>
      </c>
      <c r="T99" s="62">
        <f t="shared" si="88"/>
        <v>278.21741231699929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1.3590653909636692E-9</v>
      </c>
      <c r="AC99" s="24">
        <f t="shared" si="57"/>
        <v>1.3590653909636692E-9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5.6</v>
      </c>
      <c r="AI99" s="14">
        <f>IF('Données projet'!$A$62&gt;35,AI98+AH99-AQ98,IF(A99&lt;'Données projet'!$A$62,$AF$205^A99,IF(A99='Données projet'!$A$62,'Données projet'!$B$62,AI98+AH99-AQ98)))</f>
        <v>310.59999999999991</v>
      </c>
      <c r="AJ99" s="14">
        <f>AI99*VLOOKUP('Données projet'!$B$10,Paramètres!$A$1:$I$89,3,0)*VLOOKUP('Données projet'!$B$10,Paramètres!$A$1:$I$89,5,0)</f>
        <v>295.56695999999994</v>
      </c>
      <c r="AK99" s="14">
        <f t="shared" si="89"/>
        <v>70.246324349537915</v>
      </c>
      <c r="AL99" s="22">
        <f t="shared" si="58"/>
        <v>637.12480357544507</v>
      </c>
      <c r="AM99" s="62">
        <f t="shared" si="59"/>
        <v>930.45813690877844</v>
      </c>
      <c r="AN99" s="62">
        <f ca="1">AVERAGE(OFFSET($AM$3,0,0,'Données projet'!$E$10+1,1))-AVERAGE(OFFSET($H$3,0,0,'Données projet'!$E$10+1,1))</f>
        <v>449.16408464351673</v>
      </c>
      <c r="AO99" s="62">
        <f t="shared" si="90"/>
        <v>290.39826583283588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1.4293618767031701E-9</v>
      </c>
      <c r="AX99" s="23">
        <f t="shared" si="60"/>
        <v>1.4293618767031701E-9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5.6</v>
      </c>
      <c r="BD99" s="13">
        <f>IF('Données projet'!$A$88&gt;35,BD98+BC99-BL98,IF(A99&lt;'Données projet'!$A$88,$BA$205^A99,IF(A99='Données projet'!$A$88,'Données projet'!$B$88,BD98+BC99-BL98)))</f>
        <v>310.59999999999991</v>
      </c>
      <c r="BE99" s="14">
        <f>BD99*VLOOKUP('Données projet'!$B$11,Paramètres!$A$1:$I$89,3,0)*VLOOKUP('Données projet'!$B$11,Paramètres!$A$1:$I$89,5,0)</f>
        <v>300.41231999999991</v>
      </c>
      <c r="BF99" s="14">
        <f t="shared" si="91"/>
        <v>71.262894674416671</v>
      </c>
      <c r="BG99" s="22">
        <f t="shared" si="61"/>
        <v>647.33433222460883</v>
      </c>
      <c r="BH99" s="62">
        <f t="shared" si="62"/>
        <v>940.6676655579422</v>
      </c>
      <c r="BI99" s="62">
        <f ca="1">AVERAGE(OFFSET($BH$3,0,0,'Données projet'!$E$11+1,1))-AVERAGE(OFFSET($H$3,0,0,'Données projet'!$E$11+1,1))</f>
        <v>455.85294519779609</v>
      </c>
      <c r="BJ99" s="62">
        <f t="shared" si="92"/>
        <v>294.45557293177131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1.4527940386163364E-9</v>
      </c>
      <c r="BS99" s="24">
        <f t="shared" si="63"/>
        <v>1.4527940386163364E-9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5.6843418860808015E-14</v>
      </c>
      <c r="BZ99" s="14">
        <f>BY99*VLOOKUP('Données projet'!$B$12,Paramètres!$A$1:$I$89,3,0)*VLOOKUP('Données projet'!$B$12,Paramètres!$A$1:$I$89,5,0)</f>
        <v>4.9658410716801891E-14</v>
      </c>
      <c r="CA99" s="14">
        <f t="shared" si="93"/>
        <v>8.0934058173791862E-13</v>
      </c>
      <c r="CB99" s="22">
        <f t="shared" si="64"/>
        <v>1.4960899118586383E-12</v>
      </c>
      <c r="CC99" s="62">
        <f t="shared" si="65"/>
        <v>293.33333333333479</v>
      </c>
      <c r="CD99" s="62">
        <f ca="1">AVERAGE(OFFSET($CC$3,0,0,'Données projet'!$E$12+1,1))-AVERAGE(OFFSET($H$3,0,0,'Données projet'!$E$12+1,1))</f>
        <v>304.32767345253382</v>
      </c>
      <c r="CE99" s="62">
        <f t="shared" si="94"/>
        <v>427.16091343339173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-5.6843418860808015E-14</v>
      </c>
      <c r="CU99" s="18">
        <f>CT99*VLOOKUP('Données projet'!$B$13,Paramètres!$A$1:$I$89,3,0)*VLOOKUP('Données projet'!$B$13,Paramètres!$A$1:$I$89,5,0)</f>
        <v>-5.1431925385259088E-14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350.06545824795847</v>
      </c>
      <c r="CZ99" s="62">
        <f t="shared" si="96"/>
        <v>513.80016421153414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5.6</v>
      </c>
      <c r="DO99" s="13">
        <f>IF('Données projet'!$A$166&gt;35,DO98+DN99-DW98,IF(A99&lt;'Données projet'!$A$166,$DL$205^A99,IF(A99='Données projet'!$A$166,'Données projet'!$B$166,DO98+DN99-DW98)))</f>
        <v>310.59999999999991</v>
      </c>
      <c r="DP99" s="18">
        <f>DO99*VLOOKUP('Données projet'!$B$14,Paramètres!$A$1:$I$89,3,0)*VLOOKUP('Données projet'!$B$14,Paramètres!$A$1:$I$89,5,0)</f>
        <v>247.11335999999991</v>
      </c>
      <c r="DQ99" s="14">
        <f t="shared" si="97"/>
        <v>59.967393156546734</v>
      </c>
      <c r="DR99" s="22">
        <f t="shared" si="70"/>
        <v>534.83231174765194</v>
      </c>
      <c r="DS99" s="62">
        <f t="shared" si="71"/>
        <v>828.16564508098531</v>
      </c>
      <c r="DT99" s="62">
        <f ca="1">AVERAGE(OFFSET($DS$3,0,0,'Données projet'!$E$14+1,1))-AVERAGE(OFFSET($H$3,0,0,'Données projet'!$E$14+1,1))</f>
        <v>382.14353215900121</v>
      </c>
      <c r="DU99" s="62">
        <f t="shared" si="98"/>
        <v>249.73945975250177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1.1950402575715031E-9</v>
      </c>
      <c r="ED99" s="24">
        <f t="shared" si="72"/>
        <v>1.1950402575715031E-9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5.6</v>
      </c>
      <c r="N100" s="14">
        <f>IF('Données projet'!$A$36&gt;35,N99+M100-V99,IF(A100&lt;'Données projet'!$A$36,$K$205^A100,IF(A100='Données projet'!$A$36,'Données projet'!$B$36,N99+M100-V99)))</f>
        <v>316.19999999999993</v>
      </c>
      <c r="O100" s="14">
        <f>N100*VLOOKUP('Données projet'!$B$9,Paramètres!$A$1:$I$89,3,0)*VLOOKUP('Données projet'!$B$9,Paramètres!$A$1:$I$89,5,0)</f>
        <v>286.09775999999994</v>
      </c>
      <c r="P100" s="14">
        <f t="shared" si="87"/>
        <v>68.254020651723678</v>
      </c>
      <c r="Q100" s="22">
        <f t="shared" si="107"/>
        <v>617.16268463508527</v>
      </c>
      <c r="R100" s="62">
        <f t="shared" si="55"/>
        <v>910.49601796841853</v>
      </c>
      <c r="S100" s="62">
        <f ca="1">AVERAGE(OFFSET($R$3,0,0,'Données projet'!$E$9+1,1))-AVERAGE(OFFSET($H$3,0,0,'Données projet'!$E$9+1,1))</f>
        <v>429.08375622925655</v>
      </c>
      <c r="T100" s="62">
        <f t="shared" si="88"/>
        <v>278.21741231699929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9.6100435402635688E-10</v>
      </c>
      <c r="AC100" s="24">
        <f t="shared" si="57"/>
        <v>9.6100435402635688E-10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5.6</v>
      </c>
      <c r="AI100" s="14">
        <f>IF('Données projet'!$A$62&gt;35,AI99+AH100-AQ99,IF(A100&lt;'Données projet'!$A$62,$AF$205^A100,IF(A100='Données projet'!$A$62,'Données projet'!$B$62,AI99+AH100-AQ99)))</f>
        <v>316.19999999999993</v>
      </c>
      <c r="AJ100" s="14">
        <f>AI100*VLOOKUP('Données projet'!$B$10,Paramètres!$A$1:$I$89,3,0)*VLOOKUP('Données projet'!$B$10,Paramètres!$A$1:$I$89,5,0)</f>
        <v>300.89591999999993</v>
      </c>
      <c r="AK100" s="14">
        <f t="shared" si="89"/>
        <v>71.364250111999624</v>
      </c>
      <c r="AL100" s="22">
        <f t="shared" si="58"/>
        <v>648.35312961173247</v>
      </c>
      <c r="AM100" s="62">
        <f t="shared" si="59"/>
        <v>941.68646294506584</v>
      </c>
      <c r="AN100" s="62">
        <f ca="1">AVERAGE(OFFSET($AM$3,0,0,'Données projet'!$E$10+1,1))-AVERAGE(OFFSET($H$3,0,0,'Données projet'!$E$10+1,1))</f>
        <v>449.16408464351673</v>
      </c>
      <c r="AO100" s="62">
        <f t="shared" si="90"/>
        <v>290.39826583283588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1.0107114757863414E-9</v>
      </c>
      <c r="AX100" s="23">
        <f t="shared" si="60"/>
        <v>1.0107114757863414E-9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5.6</v>
      </c>
      <c r="BD100" s="13">
        <f>IF('Données projet'!$A$88&gt;35,BD99+BC100-BL99,IF(A100&lt;'Données projet'!$A$88,$BA$205^A100,IF(A100='Données projet'!$A$88,'Données projet'!$B$88,BD99+BC100-BL99)))</f>
        <v>316.19999999999993</v>
      </c>
      <c r="BE100" s="14">
        <f>BD100*VLOOKUP('Données projet'!$B$11,Paramètres!$A$1:$I$89,3,0)*VLOOKUP('Données projet'!$B$11,Paramètres!$A$1:$I$89,5,0)</f>
        <v>305.82863999999995</v>
      </c>
      <c r="BF100" s="14">
        <f t="shared" si="91"/>
        <v>72.396998509767741</v>
      </c>
      <c r="BG100" s="22">
        <f t="shared" si="61"/>
        <v>658.74298707117862</v>
      </c>
      <c r="BH100" s="62">
        <f t="shared" si="62"/>
        <v>952.07632040451199</v>
      </c>
      <c r="BI100" s="62">
        <f ca="1">AVERAGE(OFFSET($BH$3,0,0,'Données projet'!$E$11+1,1))-AVERAGE(OFFSET($H$3,0,0,'Données projet'!$E$11+1,1))</f>
        <v>455.85294519779609</v>
      </c>
      <c r="BJ100" s="62">
        <f t="shared" si="92"/>
        <v>294.45557293177131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1.0272805163730025E-9</v>
      </c>
      <c r="BS100" s="24">
        <f t="shared" si="63"/>
        <v>1.0272805163730025E-9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5.6843418860808015E-14</v>
      </c>
      <c r="BZ100" s="14">
        <f>BY100*VLOOKUP('Données projet'!$B$12,Paramètres!$A$1:$I$89,3,0)*VLOOKUP('Données projet'!$B$12,Paramètres!$A$1:$I$89,5,0)</f>
        <v>4.9658410716801891E-14</v>
      </c>
      <c r="CA100" s="14">
        <f t="shared" si="93"/>
        <v>8.0934058173791862E-13</v>
      </c>
      <c r="CB100" s="22">
        <f t="shared" si="64"/>
        <v>1.4960899118586383E-12</v>
      </c>
      <c r="CC100" s="62">
        <f t="shared" si="65"/>
        <v>293.33333333333479</v>
      </c>
      <c r="CD100" s="62">
        <f ca="1">AVERAGE(OFFSET($CC$3,0,0,'Données projet'!$E$12+1,1))-AVERAGE(OFFSET($H$3,0,0,'Données projet'!$E$12+1,1))</f>
        <v>304.32767345253382</v>
      </c>
      <c r="CE100" s="62">
        <f t="shared" si="94"/>
        <v>427.16091343339173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-5.6843418860808015E-14</v>
      </c>
      <c r="CU100" s="18">
        <f>CT100*VLOOKUP('Données projet'!$B$13,Paramètres!$A$1:$I$89,3,0)*VLOOKUP('Données projet'!$B$13,Paramètres!$A$1:$I$89,5,0)</f>
        <v>-5.1431925385259088E-14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350.06545824795847</v>
      </c>
      <c r="CZ100" s="62">
        <f t="shared" si="96"/>
        <v>513.80016421153414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5.6</v>
      </c>
      <c r="DO100" s="13">
        <f>IF('Données projet'!$A$166&gt;35,DO99+DN100-DW99,IF(A100&lt;'Données projet'!$A$166,$DL$205^A100,IF(A100='Données projet'!$A$166,'Données projet'!$B$166,DO99+DN100-DW99)))</f>
        <v>316.19999999999993</v>
      </c>
      <c r="DP100" s="18">
        <f>DO100*VLOOKUP('Données projet'!$B$14,Paramètres!$A$1:$I$89,3,0)*VLOOKUP('Données projet'!$B$14,Paramètres!$A$1:$I$89,5,0)</f>
        <v>251.56871999999996</v>
      </c>
      <c r="DQ100" s="14">
        <f t="shared" si="97"/>
        <v>60.921736239094351</v>
      </c>
      <c r="DR100" s="22">
        <f t="shared" si="70"/>
        <v>544.25421128308938</v>
      </c>
      <c r="DS100" s="62">
        <f t="shared" si="71"/>
        <v>837.58754461642275</v>
      </c>
      <c r="DT100" s="62">
        <f ca="1">AVERAGE(OFFSET($DS$3,0,0,'Données projet'!$E$14+1,1))-AVERAGE(OFFSET($H$3,0,0,'Données projet'!$E$14+1,1))</f>
        <v>382.14353215900121</v>
      </c>
      <c r="DU100" s="62">
        <f t="shared" si="98"/>
        <v>249.73945975250177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8.4502106991972828E-10</v>
      </c>
      <c r="ED100" s="24">
        <f t="shared" si="72"/>
        <v>8.4502106991972828E-10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5.6</v>
      </c>
      <c r="N101" s="14">
        <f>IF('Données projet'!$A$36&gt;35,N100+M101-V100,IF(A101&lt;'Données projet'!$A$36,$K$205^A101,IF(A101='Données projet'!$A$36,'Données projet'!$B$36,N100+M101-V100)))</f>
        <v>321.79999999999995</v>
      </c>
      <c r="O101" s="14">
        <f>N101*VLOOKUP('Données projet'!$B$9,Paramètres!$A$1:$I$89,3,0)*VLOOKUP('Données projet'!$B$9,Paramètres!$A$1:$I$89,5,0)</f>
        <v>291.16463999999991</v>
      </c>
      <c r="P101" s="14">
        <f t="shared" si="87"/>
        <v>69.321022467464644</v>
      </c>
      <c r="Q101" s="22">
        <f t="shared" si="107"/>
        <v>627.84586213083401</v>
      </c>
      <c r="R101" s="62">
        <f t="shared" si="55"/>
        <v>921.17919546416738</v>
      </c>
      <c r="S101" s="62">
        <f ca="1">AVERAGE(OFFSET($R$3,0,0,'Données projet'!$E$9+1,1))-AVERAGE(OFFSET($H$3,0,0,'Données projet'!$E$9+1,1))</f>
        <v>429.08375622925655</v>
      </c>
      <c r="T101" s="62">
        <f t="shared" si="88"/>
        <v>278.21741231699929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6.7953269548183461E-10</v>
      </c>
      <c r="AC101" s="24">
        <f t="shared" si="57"/>
        <v>6.7953269548183461E-10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5.6</v>
      </c>
      <c r="AI101" s="14">
        <f>IF('Données projet'!$A$62&gt;35,AI100+AH101-AQ100,IF(A101&lt;'Données projet'!$A$62,$AF$205^A101,IF(A101='Données projet'!$A$62,'Données projet'!$B$62,AI100+AH101-AQ100)))</f>
        <v>321.79999999999995</v>
      </c>
      <c r="AJ101" s="14">
        <f>AI101*VLOOKUP('Données projet'!$B$10,Paramètres!$A$1:$I$89,3,0)*VLOOKUP('Données projet'!$B$10,Paramètres!$A$1:$I$89,5,0)</f>
        <v>306.22487999999998</v>
      </c>
      <c r="AK101" s="14">
        <f t="shared" si="89"/>
        <v>72.479873539329219</v>
      </c>
      <c r="AL101" s="22">
        <f t="shared" si="58"/>
        <v>659.57744574766491</v>
      </c>
      <c r="AM101" s="62">
        <f t="shared" si="59"/>
        <v>952.91077908099828</v>
      </c>
      <c r="AN101" s="62">
        <f ca="1">AVERAGE(OFFSET($AM$3,0,0,'Données projet'!$E$10+1,1))-AVERAGE(OFFSET($H$3,0,0,'Données projet'!$E$10+1,1))</f>
        <v>449.16408464351673</v>
      </c>
      <c r="AO101" s="62">
        <f t="shared" si="90"/>
        <v>290.39826583283588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7.1468093835158507E-10</v>
      </c>
      <c r="AX101" s="23">
        <f t="shared" si="60"/>
        <v>7.1468093835158507E-10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5.6</v>
      </c>
      <c r="BD101" s="13">
        <f>IF('Données projet'!$A$88&gt;35,BD100+BC101-BL100,IF(A101&lt;'Données projet'!$A$88,$BA$205^A101,IF(A101='Données projet'!$A$88,'Données projet'!$B$88,BD100+BC101-BL100)))</f>
        <v>321.79999999999995</v>
      </c>
      <c r="BE101" s="14">
        <f>BD101*VLOOKUP('Données projet'!$B$11,Paramètres!$A$1:$I$89,3,0)*VLOOKUP('Données projet'!$B$11,Paramètres!$A$1:$I$89,5,0)</f>
        <v>311.24495999999994</v>
      </c>
      <c r="BF101" s="14">
        <f t="shared" si="91"/>
        <v>73.528766691722723</v>
      </c>
      <c r="BG101" s="22">
        <f t="shared" si="61"/>
        <v>670.14757398808365</v>
      </c>
      <c r="BH101" s="62">
        <f t="shared" si="62"/>
        <v>963.48090732141691</v>
      </c>
      <c r="BI101" s="62">
        <f ca="1">AVERAGE(OFFSET($BH$3,0,0,'Données projet'!$E$11+1,1))-AVERAGE(OFFSET($H$3,0,0,'Données projet'!$E$11+1,1))</f>
        <v>455.85294519779609</v>
      </c>
      <c r="BJ101" s="62">
        <f t="shared" si="92"/>
        <v>294.45557293177131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7.2639701930816822E-10</v>
      </c>
      <c r="BS101" s="24">
        <f t="shared" si="63"/>
        <v>7.2639701930816822E-10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5.6843418860808015E-14</v>
      </c>
      <c r="BZ101" s="14">
        <f>BY101*VLOOKUP('Données projet'!$B$12,Paramètres!$A$1:$I$89,3,0)*VLOOKUP('Données projet'!$B$12,Paramètres!$A$1:$I$89,5,0)</f>
        <v>4.9658410716801891E-14</v>
      </c>
      <c r="CA101" s="14">
        <f t="shared" si="93"/>
        <v>8.0934058173791862E-13</v>
      </c>
      <c r="CB101" s="22">
        <f t="shared" si="64"/>
        <v>1.4960899118586383E-12</v>
      </c>
      <c r="CC101" s="62">
        <f t="shared" si="65"/>
        <v>293.33333333333479</v>
      </c>
      <c r="CD101" s="62">
        <f ca="1">AVERAGE(OFFSET($CC$3,0,0,'Données projet'!$E$12+1,1))-AVERAGE(OFFSET($H$3,0,0,'Données projet'!$E$12+1,1))</f>
        <v>304.32767345253382</v>
      </c>
      <c r="CE101" s="62">
        <f t="shared" si="94"/>
        <v>427.16091343339173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-5.6843418860808015E-14</v>
      </c>
      <c r="CU101" s="18">
        <f>CT101*VLOOKUP('Données projet'!$B$13,Paramètres!$A$1:$I$89,3,0)*VLOOKUP('Données projet'!$B$13,Paramètres!$A$1:$I$89,5,0)</f>
        <v>-5.1431925385259088E-14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350.06545824795847</v>
      </c>
      <c r="CZ101" s="62">
        <f t="shared" si="96"/>
        <v>513.80016421153414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5.6</v>
      </c>
      <c r="DO101" s="13">
        <f>IF('Données projet'!$A$166&gt;35,DO100+DN101-DW100,IF(A101&lt;'Données projet'!$A$166,$DL$205^A101,IF(A101='Données projet'!$A$166,'Données projet'!$B$166,DO100+DN101-DW100)))</f>
        <v>321.79999999999995</v>
      </c>
      <c r="DP101" s="18">
        <f>DO101*VLOOKUP('Données projet'!$B$14,Paramètres!$A$1:$I$89,3,0)*VLOOKUP('Données projet'!$B$14,Paramètres!$A$1:$I$89,5,0)</f>
        <v>256.02407999999997</v>
      </c>
      <c r="DQ101" s="14">
        <f t="shared" si="97"/>
        <v>61.874113880213841</v>
      </c>
      <c r="DR101" s="22">
        <f t="shared" si="70"/>
        <v>553.67268767470557</v>
      </c>
      <c r="DS101" s="62">
        <f t="shared" si="71"/>
        <v>847.00602100803894</v>
      </c>
      <c r="DT101" s="62">
        <f ca="1">AVERAGE(OFFSET($DS$3,0,0,'Données projet'!$E$14+1,1))-AVERAGE(OFFSET($H$3,0,0,'Données projet'!$E$14+1,1))</f>
        <v>382.14353215900121</v>
      </c>
      <c r="DU101" s="62">
        <f t="shared" si="98"/>
        <v>249.73945975250177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5.9752012878575157E-10</v>
      </c>
      <c r="ED101" s="24">
        <f t="shared" si="72"/>
        <v>5.9752012878575157E-10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5.6</v>
      </c>
      <c r="N102" s="14">
        <f>IF('Données projet'!$A$36&gt;35,N101+M102-V101,IF(A102&lt;'Données projet'!$A$36,$K$205^A102,IF(A102='Données projet'!$A$36,'Données projet'!$B$36,N101+M102-V101)))</f>
        <v>327.39999999999998</v>
      </c>
      <c r="O102" s="14">
        <f>N102*VLOOKUP('Données projet'!$B$9,Paramètres!$A$1:$I$89,3,0)*VLOOKUP('Données projet'!$B$9,Paramètres!$A$1:$I$89,5,0)</f>
        <v>296.23151999999993</v>
      </c>
      <c r="P102" s="14">
        <f t="shared" si="87"/>
        <v>70.385865030263986</v>
      </c>
      <c r="Q102" s="22">
        <f t="shared" si="107"/>
        <v>638.52527892770956</v>
      </c>
      <c r="R102" s="62">
        <f t="shared" si="55"/>
        <v>931.85861226104294</v>
      </c>
      <c r="S102" s="62">
        <f ca="1">AVERAGE(OFFSET($R$3,0,0,'Données projet'!$E$9+1,1))-AVERAGE(OFFSET($H$3,0,0,'Données projet'!$E$9+1,1))</f>
        <v>429.08375622925655</v>
      </c>
      <c r="T102" s="62">
        <f t="shared" si="88"/>
        <v>278.21741231699929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4.8050217701317844E-10</v>
      </c>
      <c r="AC102" s="24">
        <f t="shared" si="57"/>
        <v>4.8050217701317844E-10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5.6</v>
      </c>
      <c r="AI102" s="14">
        <f>IF('Données projet'!$A$62&gt;35,AI101+AH102-AQ101,IF(A102&lt;'Données projet'!$A$62,$AF$205^A102,IF(A102='Données projet'!$A$62,'Données projet'!$B$62,AI101+AH102-AQ101)))</f>
        <v>327.39999999999998</v>
      </c>
      <c r="AJ102" s="14">
        <f>AI102*VLOOKUP('Données projet'!$B$10,Paramètres!$A$1:$I$89,3,0)*VLOOKUP('Données projet'!$B$10,Paramètres!$A$1:$I$89,5,0)</f>
        <v>311.55383999999998</v>
      </c>
      <c r="AK102" s="14">
        <f t="shared" si="89"/>
        <v>73.593239319922191</v>
      </c>
      <c r="AL102" s="22">
        <f t="shared" si="58"/>
        <v>670.79782981553114</v>
      </c>
      <c r="AM102" s="62">
        <f t="shared" si="59"/>
        <v>964.13116314886452</v>
      </c>
      <c r="AN102" s="62">
        <f ca="1">AVERAGE(OFFSET($AM$3,0,0,'Données projet'!$E$10+1,1))-AVERAGE(OFFSET($H$3,0,0,'Données projet'!$E$10+1,1))</f>
        <v>449.16408464351673</v>
      </c>
      <c r="AO102" s="62">
        <f t="shared" si="90"/>
        <v>290.39826583283588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5.0535573789317072E-10</v>
      </c>
      <c r="AX102" s="23">
        <f t="shared" si="60"/>
        <v>5.0535573789317072E-10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5.6</v>
      </c>
      <c r="BD102" s="13">
        <f>IF('Données projet'!$A$88&gt;35,BD101+BC102-BL101,IF(A102&lt;'Données projet'!$A$88,$BA$205^A102,IF(A102='Données projet'!$A$88,'Données projet'!$B$88,BD101+BC102-BL101)))</f>
        <v>327.39999999999998</v>
      </c>
      <c r="BE102" s="14">
        <f>BD102*VLOOKUP('Données projet'!$B$11,Paramètres!$A$1:$I$89,3,0)*VLOOKUP('Données projet'!$B$11,Paramètres!$A$1:$I$89,5,0)</f>
        <v>316.66127999999998</v>
      </c>
      <c r="BF102" s="14">
        <f t="shared" si="91"/>
        <v>74.658244555385821</v>
      </c>
      <c r="BG102" s="22">
        <f t="shared" si="61"/>
        <v>681.54817193396354</v>
      </c>
      <c r="BH102" s="62">
        <f t="shared" si="62"/>
        <v>974.88150526729692</v>
      </c>
      <c r="BI102" s="62">
        <f ca="1">AVERAGE(OFFSET($BH$3,0,0,'Données projet'!$E$11+1,1))-AVERAGE(OFFSET($H$3,0,0,'Données projet'!$E$11+1,1))</f>
        <v>455.85294519779609</v>
      </c>
      <c r="BJ102" s="62">
        <f t="shared" si="92"/>
        <v>294.45557293177131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5.1364025818650124E-10</v>
      </c>
      <c r="BS102" s="24">
        <f t="shared" si="63"/>
        <v>5.1364025818650124E-10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5.6843418860808015E-14</v>
      </c>
      <c r="BZ102" s="14">
        <f>BY102*VLOOKUP('Données projet'!$B$12,Paramètres!$A$1:$I$89,3,0)*VLOOKUP('Données projet'!$B$12,Paramètres!$A$1:$I$89,5,0)</f>
        <v>4.9658410716801891E-14</v>
      </c>
      <c r="CA102" s="14">
        <f t="shared" si="93"/>
        <v>8.0934058173791862E-13</v>
      </c>
      <c r="CB102" s="22">
        <f t="shared" si="64"/>
        <v>1.4960899118586383E-12</v>
      </c>
      <c r="CC102" s="62">
        <f t="shared" si="65"/>
        <v>293.33333333333479</v>
      </c>
      <c r="CD102" s="62">
        <f ca="1">AVERAGE(OFFSET($CC$3,0,0,'Données projet'!$E$12+1,1))-AVERAGE(OFFSET($H$3,0,0,'Données projet'!$E$12+1,1))</f>
        <v>304.32767345253382</v>
      </c>
      <c r="CE102" s="62">
        <f t="shared" si="94"/>
        <v>427.16091343339173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-5.6843418860808015E-14</v>
      </c>
      <c r="CU102" s="18">
        <f>CT102*VLOOKUP('Données projet'!$B$13,Paramètres!$A$1:$I$89,3,0)*VLOOKUP('Données projet'!$B$13,Paramètres!$A$1:$I$89,5,0)</f>
        <v>-5.1431925385259088E-14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350.06545824795847</v>
      </c>
      <c r="CZ102" s="62">
        <f t="shared" si="96"/>
        <v>513.80016421153414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5.6</v>
      </c>
      <c r="DO102" s="13">
        <f>IF('Données projet'!$A$166&gt;35,DO101+DN102-DW101,IF(A102&lt;'Données projet'!$A$166,$DL$205^A102,IF(A102='Données projet'!$A$166,'Données projet'!$B$166,DO101+DN102-DW101)))</f>
        <v>327.39999999999998</v>
      </c>
      <c r="DP102" s="18">
        <f>DO102*VLOOKUP('Données projet'!$B$14,Paramètres!$A$1:$I$89,3,0)*VLOOKUP('Données projet'!$B$14,Paramètres!$A$1:$I$89,5,0)</f>
        <v>260.47944000000001</v>
      </c>
      <c r="DQ102" s="14">
        <f t="shared" si="97"/>
        <v>62.824564229183707</v>
      </c>
      <c r="DR102" s="22">
        <f t="shared" si="70"/>
        <v>563.08780736582833</v>
      </c>
      <c r="DS102" s="62">
        <f t="shared" si="71"/>
        <v>856.4211406991617</v>
      </c>
      <c r="DT102" s="62">
        <f ca="1">AVERAGE(OFFSET($DS$3,0,0,'Données projet'!$E$14+1,1))-AVERAGE(OFFSET($H$3,0,0,'Données projet'!$E$14+1,1))</f>
        <v>382.14353215900121</v>
      </c>
      <c r="DU102" s="62">
        <f t="shared" si="98"/>
        <v>249.73945975250177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4.2251053495986414E-10</v>
      </c>
      <c r="ED102" s="24">
        <f t="shared" si="72"/>
        <v>4.2251053495986414E-10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333</v>
      </c>
      <c r="L103" s="13">
        <f>VLOOKUP(A103,'Données projet'!$A$35:$I$55,9,0)</f>
        <v>5.6</v>
      </c>
      <c r="M103" s="13">
        <f t="array" ref="M103">INDEX(L:L,MIN(IF(ISNUMBER(L103:L299),ROW(L103:L299),"")))</f>
        <v>5.6</v>
      </c>
      <c r="N103" s="14">
        <f>IF('Données projet'!$A$36&gt;35,N102+M103-V102,IF(A103&lt;'Données projet'!$A$36,$K$205^A103,IF(A103='Données projet'!$A$36,'Données projet'!$B$36,N102+M103-V102)))</f>
        <v>333</v>
      </c>
      <c r="O103" s="14">
        <f>N103*VLOOKUP('Données projet'!$B$9,Paramètres!$A$1:$I$89,3,0)*VLOOKUP('Données projet'!$B$9,Paramètres!$A$1:$I$89,5,0)</f>
        <v>301.29840000000002</v>
      </c>
      <c r="P103" s="14">
        <f t="shared" si="87"/>
        <v>71.448589534990518</v>
      </c>
      <c r="Q103" s="22">
        <f t="shared" si="107"/>
        <v>649.2010067734418</v>
      </c>
      <c r="R103" s="62">
        <f t="shared" si="55"/>
        <v>942.53434010677506</v>
      </c>
      <c r="S103" s="62">
        <f ca="1">AVERAGE(OFFSET($R$3,0,0,'Données projet'!$E$9+1,1))-AVERAGE(OFFSET($H$3,0,0,'Données projet'!$E$9+1,1))</f>
        <v>429.08375622925655</v>
      </c>
      <c r="T103" s="62">
        <f t="shared" si="88"/>
        <v>278.21741231699929</v>
      </c>
      <c r="U103" s="16">
        <f>IF(ISNA(VLOOKUP(A103,'Données projet'!$A$35:$I$55,3,0)),0,VLOOKUP(A103,'Données projet'!$A$35:$I$55,3,0))</f>
        <v>17</v>
      </c>
      <c r="V103" s="16">
        <f>IF(ISNA(VLOOKUP(A103,'Données projet'!$A$35:$I$55,4,0)),0,VLOOKUP(A103,'Données projet'!$A$35:$I$55,4,0))</f>
        <v>27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3.397663477409173E-10</v>
      </c>
      <c r="AC103" s="24">
        <f t="shared" si="57"/>
        <v>3.397663477409173E-10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333</v>
      </c>
      <c r="AG103" s="13">
        <f>VLOOKUP(A103,'Données projet'!$A$61:$I$81,9,0)</f>
        <v>5.6</v>
      </c>
      <c r="AH103" s="13">
        <f t="array" ref="AH103">INDEX(AG:AG,MIN(IF(ISNUMBER(AG103:AG299),ROW(AG103:AG299),"")))</f>
        <v>5.6</v>
      </c>
      <c r="AI103" s="14">
        <f>IF('Données projet'!$A$62&gt;35,AI102+AH103-AQ102,IF(A103&lt;'Données projet'!$A$62,$AF$205^A103,IF(A103='Données projet'!$A$62,'Données projet'!$B$62,AI102+AH103-AQ102)))</f>
        <v>333</v>
      </c>
      <c r="AJ103" s="14">
        <f>AI103*VLOOKUP('Données projet'!$B$10,Paramètres!$A$1:$I$89,3,0)*VLOOKUP('Données projet'!$B$10,Paramètres!$A$1:$I$89,5,0)</f>
        <v>316.88280000000003</v>
      </c>
      <c r="AK103" s="14">
        <f t="shared" si="89"/>
        <v>74.70439052583346</v>
      </c>
      <c r="AL103" s="22">
        <f t="shared" si="58"/>
        <v>682.01435683249326</v>
      </c>
      <c r="AM103" s="62">
        <f t="shared" si="59"/>
        <v>975.34769016582663</v>
      </c>
      <c r="AN103" s="62">
        <f ca="1">AVERAGE(OFFSET($AM$3,0,0,'Données projet'!$E$10+1,1))-AVERAGE(OFFSET($H$3,0,0,'Données projet'!$E$10+1,1))</f>
        <v>449.16408464351673</v>
      </c>
      <c r="AO103" s="62">
        <f t="shared" si="90"/>
        <v>290.39826583283588</v>
      </c>
      <c r="AP103" s="16">
        <f>IF(ISNA(VLOOKUP(A103,'Données projet'!$A$61:$I$81,3,0)),0,VLOOKUP(A103,'Données projet'!$A$61:$I$81,3,0))</f>
        <v>17</v>
      </c>
      <c r="AQ103" s="16">
        <f>IF(ISNA(VLOOKUP(A103,'Données projet'!$A$61:$I$81,4,0)),0,VLOOKUP(A103,'Données projet'!$A$61:$I$81,4,0))</f>
        <v>27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3.5734046917579254E-10</v>
      </c>
      <c r="AX103" s="23">
        <f t="shared" si="60"/>
        <v>3.5734046917579254E-10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333</v>
      </c>
      <c r="BB103" s="13">
        <f>VLOOKUP(A103,'Données projet'!$A$87:$I$107,9,0)</f>
        <v>5.6</v>
      </c>
      <c r="BC103" s="13">
        <f t="array" ref="BC103">INDEX(BB:BB,MIN(IF(ISNUMBER(BB103:BB299),ROW(BB103:BB299),"")))</f>
        <v>5.6</v>
      </c>
      <c r="BD103" s="13">
        <f>IF('Données projet'!$A$88&gt;35,BD102+BC103-BL102,IF(A103&lt;'Données projet'!$A$88,$BA$205^A103,IF(A103='Données projet'!$A$88,'Données projet'!$B$88,BD102+BC103-BL102)))</f>
        <v>333</v>
      </c>
      <c r="BE103" s="14">
        <f>BD103*VLOOKUP('Données projet'!$B$11,Paramètres!$A$1:$I$89,3,0)*VLOOKUP('Données projet'!$B$11,Paramètres!$A$1:$I$89,5,0)</f>
        <v>322.07760000000002</v>
      </c>
      <c r="BF103" s="14">
        <f t="shared" si="91"/>
        <v>75.785475796129461</v>
      </c>
      <c r="BG103" s="22">
        <f t="shared" si="61"/>
        <v>692.94485701159203</v>
      </c>
      <c r="BH103" s="62">
        <f t="shared" si="62"/>
        <v>986.27819034492541</v>
      </c>
      <c r="BI103" s="62">
        <f ca="1">AVERAGE(OFFSET($BH$3,0,0,'Données projet'!$E$11+1,1))-AVERAGE(OFFSET($H$3,0,0,'Données projet'!$E$11+1,1))</f>
        <v>455.85294519779609</v>
      </c>
      <c r="BJ103" s="62">
        <f t="shared" si="92"/>
        <v>294.45557293177131</v>
      </c>
      <c r="BK103" s="16">
        <f>IF(ISNA(VLOOKUP(A103,'Données projet'!$A$87:$I$107,3,0)),0,VLOOKUP(A103,'Données projet'!$A$87:$I$107,3,0))</f>
        <v>17</v>
      </c>
      <c r="BL103" s="16">
        <f>IF(ISNA(VLOOKUP(A103,'Données projet'!$A$87:$I$107,4,0)),0,VLOOKUP(A103,'Données projet'!$A$87:$I$107,4,0))</f>
        <v>27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3.6319850965408411E-10</v>
      </c>
      <c r="BS103" s="24">
        <f t="shared" si="63"/>
        <v>3.6319850965408411E-10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5.6843418860808015E-14</v>
      </c>
      <c r="BZ103" s="14">
        <f>BY103*VLOOKUP('Données projet'!$B$12,Paramètres!$A$1:$I$89,3,0)*VLOOKUP('Données projet'!$B$12,Paramètres!$A$1:$I$89,5,0)</f>
        <v>4.9658410716801891E-14</v>
      </c>
      <c r="CA103" s="14">
        <f t="shared" si="93"/>
        <v>8.0934058173791862E-13</v>
      </c>
      <c r="CB103" s="22">
        <f t="shared" si="64"/>
        <v>1.4960899118586383E-12</v>
      </c>
      <c r="CC103" s="62">
        <f t="shared" si="65"/>
        <v>293.33333333333479</v>
      </c>
      <c r="CD103" s="62">
        <f ca="1">AVERAGE(OFFSET($CC$3,0,0,'Données projet'!$E$12+1,1))-AVERAGE(OFFSET($H$3,0,0,'Données projet'!$E$12+1,1))</f>
        <v>304.32767345253382</v>
      </c>
      <c r="CE103" s="62">
        <f t="shared" si="94"/>
        <v>427.16091343339173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-5.6843418860808015E-14</v>
      </c>
      <c r="CU103" s="18">
        <f>CT103*VLOOKUP('Données projet'!$B$13,Paramètres!$A$1:$I$89,3,0)*VLOOKUP('Données projet'!$B$13,Paramètres!$A$1:$I$89,5,0)</f>
        <v>-5.1431925385259088E-14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350.06545824795847</v>
      </c>
      <c r="CZ103" s="62">
        <f t="shared" si="96"/>
        <v>513.80016421153414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333</v>
      </c>
      <c r="DM103" s="13">
        <f>VLOOKUP(A103,'Données projet'!$A$165:$I$185,9,0)</f>
        <v>5.6</v>
      </c>
      <c r="DN103" s="13">
        <f t="array" ref="DN103">INDEX(DM:DM,MIN(IF(ISNUMBER(DM103:DM299),ROW(DM103:DM299),"")))</f>
        <v>5.6</v>
      </c>
      <c r="DO103" s="13">
        <f>IF('Données projet'!$A$166&gt;35,DO102+DN103-DW102,IF(A103&lt;'Données projet'!$A$166,$DL$205^A103,IF(A103='Données projet'!$A$166,'Données projet'!$B$166,DO102+DN103-DW102)))</f>
        <v>333</v>
      </c>
      <c r="DP103" s="18">
        <f>DO103*VLOOKUP('Données projet'!$B$14,Paramètres!$A$1:$I$89,3,0)*VLOOKUP('Données projet'!$B$14,Paramètres!$A$1:$I$89,5,0)</f>
        <v>264.93480000000005</v>
      </c>
      <c r="DQ103" s="14">
        <f t="shared" si="97"/>
        <v>63.773124055455817</v>
      </c>
      <c r="DR103" s="22">
        <f t="shared" si="70"/>
        <v>572.49963439658552</v>
      </c>
      <c r="DS103" s="62">
        <f t="shared" si="71"/>
        <v>865.83296772991889</v>
      </c>
      <c r="DT103" s="62">
        <f ca="1">AVERAGE(OFFSET($DS$3,0,0,'Données projet'!$E$14+1,1))-AVERAGE(OFFSET($H$3,0,0,'Données projet'!$E$14+1,1))</f>
        <v>382.14353215900121</v>
      </c>
      <c r="DU103" s="62">
        <f t="shared" si="98"/>
        <v>249.73945975250177</v>
      </c>
      <c r="DV103" s="16">
        <f>IF(ISNA(VLOOKUP(A103,'Données projet'!$A$165:$I$185,3,0)),0,VLOOKUP(A103,'Données projet'!$A$165:$I$185,3,0))</f>
        <v>17</v>
      </c>
      <c r="DW103" s="16">
        <f>IF(ISNA(VLOOKUP(A103,'Données projet'!$A$165:$I$185,4,0)),0,VLOOKUP(A103,'Données projet'!$A$165:$I$185,4,0))</f>
        <v>27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2.9876006439287579E-10</v>
      </c>
      <c r="ED103" s="24">
        <f t="shared" si="72"/>
        <v>2.9876006439287579E-10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5.4</v>
      </c>
      <c r="N104" s="14">
        <f>IF('Données projet'!$A$36&gt;35,N103+M104-V103,IF(A104&lt;'Données projet'!$A$36,$K$205^A104,IF(A104='Données projet'!$A$36,'Données projet'!$B$36,N103+M104-V103)))</f>
        <v>311.39999999999998</v>
      </c>
      <c r="O104" s="14">
        <f>N104*VLOOKUP('Données projet'!$B$9,Paramètres!$A$1:$I$89,3,0)*VLOOKUP('Données projet'!$B$9,Paramètres!$A$1:$I$89,5,0)</f>
        <v>281.75471999999996</v>
      </c>
      <c r="P104" s="14">
        <f t="shared" si="87"/>
        <v>67.337696723120317</v>
      </c>
      <c r="Q104" s="22">
        <f t="shared" si="107"/>
        <v>608.00262579276773</v>
      </c>
      <c r="R104" s="62">
        <f t="shared" si="55"/>
        <v>901.33595912610099</v>
      </c>
      <c r="S104" s="62">
        <f ca="1">AVERAGE(OFFSET($R$3,0,0,'Données projet'!$E$9+1,1))-AVERAGE(OFFSET($H$3,0,0,'Données projet'!$E$9+1,1))</f>
        <v>429.08375622925655</v>
      </c>
      <c r="T104" s="62">
        <f t="shared" si="88"/>
        <v>278.21741231699929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2.4025108850658922E-10</v>
      </c>
      <c r="AC104" s="24">
        <f t="shared" si="57"/>
        <v>2.4025108850658922E-10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5.4</v>
      </c>
      <c r="AI104" s="14">
        <f>IF('Données projet'!$A$62&gt;35,AI103+AH104-AQ103,IF(A104&lt;'Données projet'!$A$62,$AF$205^A104,IF(A104='Données projet'!$A$62,'Données projet'!$B$62,AI103+AH104-AQ103)))</f>
        <v>311.39999999999998</v>
      </c>
      <c r="AJ104" s="14">
        <f>AI104*VLOOKUP('Données projet'!$B$10,Paramètres!$A$1:$I$89,3,0)*VLOOKUP('Données projet'!$B$10,Paramètres!$A$1:$I$89,5,0)</f>
        <v>296.32823999999999</v>
      </c>
      <c r="AK104" s="14">
        <f t="shared" si="89"/>
        <v>70.406170728542762</v>
      </c>
      <c r="AL104" s="22">
        <f t="shared" si="58"/>
        <v>638.72909868554518</v>
      </c>
      <c r="AM104" s="62">
        <f t="shared" si="59"/>
        <v>932.06243201887855</v>
      </c>
      <c r="AN104" s="62">
        <f ca="1">AVERAGE(OFFSET($AM$3,0,0,'Données projet'!$E$10+1,1))-AVERAGE(OFFSET($H$3,0,0,'Données projet'!$E$10+1,1))</f>
        <v>449.16408464351673</v>
      </c>
      <c r="AO104" s="62">
        <f t="shared" si="90"/>
        <v>290.39826583283588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2.5267786894658536E-10</v>
      </c>
      <c r="AX104" s="23">
        <f t="shared" si="60"/>
        <v>2.5267786894658536E-10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5.4</v>
      </c>
      <c r="BD104" s="13">
        <f>IF('Données projet'!$A$88&gt;35,BD103+BC104-BL103,IF(A104&lt;'Données projet'!$A$88,$BA$205^A104,IF(A104='Données projet'!$A$88,'Données projet'!$B$88,BD103+BC104-BL103)))</f>
        <v>311.39999999999998</v>
      </c>
      <c r="BE104" s="14">
        <f>BD104*VLOOKUP('Données projet'!$B$11,Paramètres!$A$1:$I$89,3,0)*VLOOKUP('Données projet'!$B$11,Paramètres!$A$1:$I$89,5,0)</f>
        <v>301.18608</v>
      </c>
      <c r="BF104" s="14">
        <f t="shared" si="91"/>
        <v>71.425054271756295</v>
      </c>
      <c r="BG104" s="22">
        <f t="shared" si="61"/>
        <v>648.96439218997557</v>
      </c>
      <c r="BH104" s="62">
        <f t="shared" si="62"/>
        <v>942.29772552330883</v>
      </c>
      <c r="BI104" s="62">
        <f ca="1">AVERAGE(OFFSET($BH$3,0,0,'Données projet'!$E$11+1,1))-AVERAGE(OFFSET($H$3,0,0,'Données projet'!$E$11+1,1))</f>
        <v>455.85294519779609</v>
      </c>
      <c r="BJ104" s="62">
        <f t="shared" si="92"/>
        <v>294.45557293177131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2.5682012909325062E-10</v>
      </c>
      <c r="BS104" s="24">
        <f t="shared" si="63"/>
        <v>2.5682012909325062E-10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5.6843418860808015E-14</v>
      </c>
      <c r="BZ104" s="14">
        <f>BY104*VLOOKUP('Données projet'!$B$12,Paramètres!$A$1:$I$89,3,0)*VLOOKUP('Données projet'!$B$12,Paramètres!$A$1:$I$89,5,0)</f>
        <v>4.9658410716801891E-14</v>
      </c>
      <c r="CA104" s="14">
        <f t="shared" si="93"/>
        <v>8.0934058173791862E-13</v>
      </c>
      <c r="CB104" s="22">
        <f t="shared" si="64"/>
        <v>1.4960899118586383E-12</v>
      </c>
      <c r="CC104" s="62">
        <f t="shared" si="65"/>
        <v>293.33333333333479</v>
      </c>
      <c r="CD104" s="62">
        <f ca="1">AVERAGE(OFFSET($CC$3,0,0,'Données projet'!$E$12+1,1))-AVERAGE(OFFSET($H$3,0,0,'Données projet'!$E$12+1,1))</f>
        <v>304.32767345253382</v>
      </c>
      <c r="CE104" s="62">
        <f t="shared" si="94"/>
        <v>427.16091343339173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-5.6843418860808015E-14</v>
      </c>
      <c r="CU104" s="18">
        <f>CT104*VLOOKUP('Données projet'!$B$13,Paramètres!$A$1:$I$89,3,0)*VLOOKUP('Données projet'!$B$13,Paramètres!$A$1:$I$89,5,0)</f>
        <v>-5.1431925385259088E-14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350.06545824795847</v>
      </c>
      <c r="CZ104" s="62">
        <f t="shared" si="96"/>
        <v>513.80016421153414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5.4</v>
      </c>
      <c r="DO104" s="13">
        <f>IF('Données projet'!$A$166&gt;35,DO103+DN104-DW103,IF(A104&lt;'Données projet'!$A$166,$DL$205^A104,IF(A104='Données projet'!$A$166,'Données projet'!$B$166,DO103+DN104-DW103)))</f>
        <v>311.39999999999998</v>
      </c>
      <c r="DP104" s="18">
        <f>DO104*VLOOKUP('Données projet'!$B$14,Paramètres!$A$1:$I$89,3,0)*VLOOKUP('Données projet'!$B$14,Paramètres!$A$1:$I$89,5,0)</f>
        <v>247.74984000000001</v>
      </c>
      <c r="DQ104" s="14">
        <f t="shared" si="97"/>
        <v>60.103849700617928</v>
      </c>
      <c r="DR104" s="22">
        <f t="shared" si="70"/>
        <v>536.17850956190955</v>
      </c>
      <c r="DS104" s="62">
        <f t="shared" si="71"/>
        <v>829.51184289524281</v>
      </c>
      <c r="DT104" s="62">
        <f ca="1">AVERAGE(OFFSET($DS$3,0,0,'Données projet'!$E$14+1,1))-AVERAGE(OFFSET($H$3,0,0,'Données projet'!$E$14+1,1))</f>
        <v>382.14353215900121</v>
      </c>
      <c r="DU104" s="62">
        <f t="shared" si="98"/>
        <v>249.73945975250177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2.1125526747993207E-10</v>
      </c>
      <c r="ED104" s="24">
        <f t="shared" si="72"/>
        <v>2.1125526747993207E-10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5.4</v>
      </c>
      <c r="N105" s="14">
        <f>IF('Données projet'!$A$36&gt;35,N104+M105-V104,IF(A105&lt;'Données projet'!$A$36,$K$205^A105,IF(A105='Données projet'!$A$36,'Données projet'!$B$36,N104+M105-V104)))</f>
        <v>316.79999999999995</v>
      </c>
      <c r="O105" s="14">
        <f>N105*VLOOKUP('Données projet'!$B$9,Paramètres!$A$1:$I$89,3,0)*VLOOKUP('Données projet'!$B$9,Paramètres!$A$1:$I$89,5,0)</f>
        <v>286.64063999999996</v>
      </c>
      <c r="P105" s="14">
        <f t="shared" si="87"/>
        <v>68.368446832003599</v>
      </c>
      <c r="Q105" s="22">
        <f t="shared" si="107"/>
        <v>618.30749289907283</v>
      </c>
      <c r="R105" s="62">
        <f t="shared" si="55"/>
        <v>911.6408262324062</v>
      </c>
      <c r="S105" s="62">
        <f ca="1">AVERAGE(OFFSET($R$3,0,0,'Données projet'!$E$9+1,1))-AVERAGE(OFFSET($H$3,0,0,'Données projet'!$E$9+1,1))</f>
        <v>429.08375622925655</v>
      </c>
      <c r="T105" s="62">
        <f t="shared" si="88"/>
        <v>278.21741231699929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1.6988317387045865E-10</v>
      </c>
      <c r="AC105" s="24">
        <f t="shared" si="57"/>
        <v>1.6988317387045865E-10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5.4</v>
      </c>
      <c r="AI105" s="14">
        <f>IF('Données projet'!$A$62&gt;35,AI104+AH105-AQ104,IF(A105&lt;'Données projet'!$A$62,$AF$205^A105,IF(A105='Données projet'!$A$62,'Données projet'!$B$62,AI104+AH105-AQ104)))</f>
        <v>316.79999999999995</v>
      </c>
      <c r="AJ105" s="14">
        <f>AI105*VLOOKUP('Données projet'!$B$10,Paramètres!$A$1:$I$89,3,0)*VLOOKUP('Données projet'!$B$10,Paramètres!$A$1:$I$89,5,0)</f>
        <v>301.46687999999995</v>
      </c>
      <c r="AK105" s="14">
        <f t="shared" si="89"/>
        <v>71.483890515171325</v>
      </c>
      <c r="AL105" s="22">
        <f t="shared" si="58"/>
        <v>649.55592531392324</v>
      </c>
      <c r="AM105" s="62">
        <f t="shared" si="59"/>
        <v>942.88925864725661</v>
      </c>
      <c r="AN105" s="62">
        <f ca="1">AVERAGE(OFFSET($AM$3,0,0,'Données projet'!$E$10+1,1))-AVERAGE(OFFSET($H$3,0,0,'Données projet'!$E$10+1,1))</f>
        <v>449.16408464351673</v>
      </c>
      <c r="AO105" s="62">
        <f t="shared" si="90"/>
        <v>290.39826583283588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1.7867023458789627E-10</v>
      </c>
      <c r="AX105" s="23">
        <f t="shared" si="60"/>
        <v>1.7867023458789627E-10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5.4</v>
      </c>
      <c r="BD105" s="13">
        <f>IF('Données projet'!$A$88&gt;35,BD104+BC105-BL104,IF(A105&lt;'Données projet'!$A$88,$BA$205^A105,IF(A105='Données projet'!$A$88,'Données projet'!$B$88,BD104+BC105-BL104)))</f>
        <v>316.79999999999995</v>
      </c>
      <c r="BE105" s="14">
        <f>BD105*VLOOKUP('Données projet'!$B$11,Paramètres!$A$1:$I$89,3,0)*VLOOKUP('Données projet'!$B$11,Paramètres!$A$1:$I$89,5,0)</f>
        <v>306.40895999999998</v>
      </c>
      <c r="BF105" s="14">
        <f t="shared" si="91"/>
        <v>72.518370290127464</v>
      </c>
      <c r="BG105" s="22">
        <f t="shared" si="61"/>
        <v>659.96510025530517</v>
      </c>
      <c r="BH105" s="62">
        <f t="shared" si="62"/>
        <v>953.29843358863855</v>
      </c>
      <c r="BI105" s="62">
        <f ca="1">AVERAGE(OFFSET($BH$3,0,0,'Données projet'!$E$11+1,1))-AVERAGE(OFFSET($H$3,0,0,'Données projet'!$E$11+1,1))</f>
        <v>455.85294519779609</v>
      </c>
      <c r="BJ105" s="62">
        <f t="shared" si="92"/>
        <v>294.45557293177131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1.8159925482704205E-10</v>
      </c>
      <c r="BS105" s="24">
        <f t="shared" si="63"/>
        <v>1.8159925482704205E-10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5.6843418860808015E-14</v>
      </c>
      <c r="BZ105" s="14">
        <f>BY105*VLOOKUP('Données projet'!$B$12,Paramètres!$A$1:$I$89,3,0)*VLOOKUP('Données projet'!$B$12,Paramètres!$A$1:$I$89,5,0)</f>
        <v>4.9658410716801891E-14</v>
      </c>
      <c r="CA105" s="14">
        <f t="shared" si="93"/>
        <v>8.0934058173791862E-13</v>
      </c>
      <c r="CB105" s="22">
        <f t="shared" si="64"/>
        <v>1.4960899118586383E-12</v>
      </c>
      <c r="CC105" s="62">
        <f t="shared" si="65"/>
        <v>293.33333333333479</v>
      </c>
      <c r="CD105" s="62">
        <f ca="1">AVERAGE(OFFSET($CC$3,0,0,'Données projet'!$E$12+1,1))-AVERAGE(OFFSET($H$3,0,0,'Données projet'!$E$12+1,1))</f>
        <v>304.32767345253382</v>
      </c>
      <c r="CE105" s="62">
        <f t="shared" si="94"/>
        <v>427.16091343339173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-5.6843418860808015E-14</v>
      </c>
      <c r="CU105" s="18">
        <f>CT105*VLOOKUP('Données projet'!$B$13,Paramètres!$A$1:$I$89,3,0)*VLOOKUP('Données projet'!$B$13,Paramètres!$A$1:$I$89,5,0)</f>
        <v>-5.1431925385259088E-14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350.06545824795847</v>
      </c>
      <c r="CZ105" s="62">
        <f t="shared" si="96"/>
        <v>513.80016421153414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5.4</v>
      </c>
      <c r="DO105" s="13">
        <f>IF('Données projet'!$A$166&gt;35,DO104+DN105-DW104,IF(A105&lt;'Données projet'!$A$166,$DL$205^A105,IF(A105='Données projet'!$A$166,'Données projet'!$B$166,DO104+DN105-DW104)))</f>
        <v>316.79999999999995</v>
      </c>
      <c r="DP105" s="18">
        <f>DO105*VLOOKUP('Données projet'!$B$14,Paramètres!$A$1:$I$89,3,0)*VLOOKUP('Données projet'!$B$14,Paramètres!$A$1:$I$89,5,0)</f>
        <v>252.04607999999999</v>
      </c>
      <c r="DQ105" s="14">
        <f t="shared" si="97"/>
        <v>61.023870025606875</v>
      </c>
      <c r="DR105" s="22">
        <f t="shared" si="70"/>
        <v>545.26349629459867</v>
      </c>
      <c r="DS105" s="62">
        <f t="shared" si="71"/>
        <v>838.59682962793204</v>
      </c>
      <c r="DT105" s="62">
        <f ca="1">AVERAGE(OFFSET($DS$3,0,0,'Données projet'!$E$14+1,1))-AVERAGE(OFFSET($H$3,0,0,'Données projet'!$E$14+1,1))</f>
        <v>382.14353215900121</v>
      </c>
      <c r="DU105" s="62">
        <f t="shared" si="98"/>
        <v>249.73945975250177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1.4938003219643789E-10</v>
      </c>
      <c r="ED105" s="24">
        <f t="shared" si="72"/>
        <v>1.4938003219643789E-10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5.4</v>
      </c>
      <c r="N106" s="14">
        <f>IF('Données projet'!$A$36&gt;35,N105+M106-V105,IF(A106&lt;'Données projet'!$A$36,$K$205^A106,IF(A106='Données projet'!$A$36,'Données projet'!$B$36,N105+M106-V105)))</f>
        <v>322.19999999999993</v>
      </c>
      <c r="O106" s="14">
        <f>N106*VLOOKUP('Données projet'!$B$9,Paramètres!$A$1:$I$89,3,0)*VLOOKUP('Données projet'!$B$9,Paramètres!$A$1:$I$89,5,0)</f>
        <v>291.5265599999999</v>
      </c>
      <c r="P106" s="14">
        <f t="shared" si="87"/>
        <v>69.397153761857183</v>
      </c>
      <c r="Q106" s="22">
        <f t="shared" si="107"/>
        <v>628.60880146856778</v>
      </c>
      <c r="R106" s="62">
        <f t="shared" si="55"/>
        <v>921.94213480190115</v>
      </c>
      <c r="S106" s="62">
        <f ca="1">AVERAGE(OFFSET($R$3,0,0,'Données projet'!$E$9+1,1))-AVERAGE(OFFSET($H$3,0,0,'Données projet'!$E$9+1,1))</f>
        <v>429.08375622925655</v>
      </c>
      <c r="T106" s="62">
        <f t="shared" si="88"/>
        <v>278.21741231699929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1.2012554425329461E-10</v>
      </c>
      <c r="AC106" s="24">
        <f t="shared" si="57"/>
        <v>1.2012554425329461E-10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5.4</v>
      </c>
      <c r="AI106" s="14">
        <f>IF('Données projet'!$A$62&gt;35,AI105+AH106-AQ105,IF(A106&lt;'Données projet'!$A$62,$AF$205^A106,IF(A106='Données projet'!$A$62,'Données projet'!$B$62,AI105+AH106-AQ105)))</f>
        <v>322.19999999999993</v>
      </c>
      <c r="AJ106" s="14">
        <f>AI106*VLOOKUP('Données projet'!$B$10,Paramètres!$A$1:$I$89,3,0)*VLOOKUP('Données projet'!$B$10,Paramètres!$A$1:$I$89,5,0)</f>
        <v>306.6055199999999</v>
      </c>
      <c r="AK106" s="14">
        <f t="shared" si="89"/>
        <v>72.559474018282785</v>
      </c>
      <c r="AL106" s="22">
        <f t="shared" si="58"/>
        <v>660.37903124850902</v>
      </c>
      <c r="AM106" s="62">
        <f t="shared" si="59"/>
        <v>953.71236458184239</v>
      </c>
      <c r="AN106" s="62">
        <f ca="1">AVERAGE(OFFSET($AM$3,0,0,'Données projet'!$E$10+1,1))-AVERAGE(OFFSET($H$3,0,0,'Données projet'!$E$10+1,1))</f>
        <v>449.16408464351673</v>
      </c>
      <c r="AO106" s="62">
        <f t="shared" si="90"/>
        <v>290.39826583283588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1.2633893447329268E-10</v>
      </c>
      <c r="AX106" s="23">
        <f t="shared" si="60"/>
        <v>1.2633893447329268E-10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5.4</v>
      </c>
      <c r="BD106" s="13">
        <f>IF('Données projet'!$A$88&gt;35,BD105+BC106-BL105,IF(A106&lt;'Données projet'!$A$88,$BA$205^A106,IF(A106='Données projet'!$A$88,'Données projet'!$B$88,BD105+BC106-BL105)))</f>
        <v>322.19999999999993</v>
      </c>
      <c r="BE106" s="14">
        <f>BD106*VLOOKUP('Données projet'!$B$11,Paramètres!$A$1:$I$89,3,0)*VLOOKUP('Données projet'!$B$11,Paramètres!$A$1:$I$89,5,0)</f>
        <v>311.63183999999995</v>
      </c>
      <c r="BF106" s="14">
        <f t="shared" si="91"/>
        <v>73.609519109735089</v>
      </c>
      <c r="BG106" s="22">
        <f t="shared" si="61"/>
        <v>670.96203378278858</v>
      </c>
      <c r="BH106" s="62">
        <f t="shared" si="62"/>
        <v>964.29536711612195</v>
      </c>
      <c r="BI106" s="62">
        <f ca="1">AVERAGE(OFFSET($BH$3,0,0,'Données projet'!$E$11+1,1))-AVERAGE(OFFSET($H$3,0,0,'Données projet'!$E$11+1,1))</f>
        <v>455.85294519779609</v>
      </c>
      <c r="BJ106" s="62">
        <f t="shared" si="92"/>
        <v>294.45557293177131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1.2841006454662531E-10</v>
      </c>
      <c r="BS106" s="24">
        <f t="shared" si="63"/>
        <v>1.2841006454662531E-10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5.6843418860808015E-14</v>
      </c>
      <c r="BZ106" s="14">
        <f>BY106*VLOOKUP('Données projet'!$B$12,Paramètres!$A$1:$I$89,3,0)*VLOOKUP('Données projet'!$B$12,Paramètres!$A$1:$I$89,5,0)</f>
        <v>4.9658410716801891E-14</v>
      </c>
      <c r="CA106" s="14">
        <f t="shared" si="93"/>
        <v>8.0934058173791862E-13</v>
      </c>
      <c r="CB106" s="22">
        <f t="shared" si="64"/>
        <v>1.4960899118586383E-12</v>
      </c>
      <c r="CC106" s="62">
        <f t="shared" si="65"/>
        <v>293.33333333333479</v>
      </c>
      <c r="CD106" s="62">
        <f ca="1">AVERAGE(OFFSET($CC$3,0,0,'Données projet'!$E$12+1,1))-AVERAGE(OFFSET($H$3,0,0,'Données projet'!$E$12+1,1))</f>
        <v>304.32767345253382</v>
      </c>
      <c r="CE106" s="62">
        <f t="shared" si="94"/>
        <v>427.16091343339173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-5.6843418860808015E-14</v>
      </c>
      <c r="CU106" s="18">
        <f>CT106*VLOOKUP('Données projet'!$B$13,Paramètres!$A$1:$I$89,3,0)*VLOOKUP('Données projet'!$B$13,Paramètres!$A$1:$I$89,5,0)</f>
        <v>-5.1431925385259088E-14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350.06545824795847</v>
      </c>
      <c r="CZ106" s="62">
        <f t="shared" si="96"/>
        <v>513.80016421153414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5.4</v>
      </c>
      <c r="DO106" s="13">
        <f>IF('Données projet'!$A$166&gt;35,DO105+DN106-DW105,IF(A106&lt;'Données projet'!$A$166,$DL$205^A106,IF(A106='Données projet'!$A$166,'Données projet'!$B$166,DO105+DN106-DW105)))</f>
        <v>322.19999999999993</v>
      </c>
      <c r="DP106" s="18">
        <f>DO106*VLOOKUP('Données projet'!$B$14,Paramètres!$A$1:$I$89,3,0)*VLOOKUP('Données projet'!$B$14,Paramètres!$A$1:$I$89,5,0)</f>
        <v>256.34231999999997</v>
      </c>
      <c r="DQ106" s="14">
        <f t="shared" si="97"/>
        <v>61.942066662954566</v>
      </c>
      <c r="DR106" s="22">
        <f t="shared" si="70"/>
        <v>554.34530677131249</v>
      </c>
      <c r="DS106" s="62">
        <f t="shared" si="71"/>
        <v>847.67864010464586</v>
      </c>
      <c r="DT106" s="62">
        <f ca="1">AVERAGE(OFFSET($DS$3,0,0,'Données projet'!$E$14+1,1))-AVERAGE(OFFSET($H$3,0,0,'Données projet'!$E$14+1,1))</f>
        <v>382.14353215900121</v>
      </c>
      <c r="DU106" s="62">
        <f t="shared" si="98"/>
        <v>249.73945975250177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1.0562763373996603E-10</v>
      </c>
      <c r="ED106" s="24">
        <f t="shared" si="72"/>
        <v>1.0562763373996603E-10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5.4</v>
      </c>
      <c r="N107" s="14">
        <f>IF('Données projet'!$A$36&gt;35,N106+M107-V106,IF(A107&lt;'Données projet'!$A$36,$K$205^A107,IF(A107='Données projet'!$A$36,'Données projet'!$B$36,N106+M107-V106)))</f>
        <v>327.59999999999991</v>
      </c>
      <c r="O107" s="14">
        <f>N107*VLOOKUP('Données projet'!$B$9,Paramètres!$A$1:$I$89,3,0)*VLOOKUP('Données projet'!$B$9,Paramètres!$A$1:$I$89,5,0)</f>
        <v>296.4124799999999</v>
      </c>
      <c r="P107" s="14">
        <f t="shared" si="87"/>
        <v>70.423855708154704</v>
      </c>
      <c r="Q107" s="22">
        <f t="shared" si="107"/>
        <v>638.90661802503598</v>
      </c>
      <c r="R107" s="62">
        <f t="shared" si="55"/>
        <v>932.23995135836935</v>
      </c>
      <c r="S107" s="62">
        <f ca="1">AVERAGE(OFFSET($R$3,0,0,'Données projet'!$E$9+1,1))-AVERAGE(OFFSET($H$3,0,0,'Données projet'!$E$9+1,1))</f>
        <v>429.08375622925655</v>
      </c>
      <c r="T107" s="62">
        <f t="shared" si="88"/>
        <v>278.21741231699929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8.4941586935229326E-11</v>
      </c>
      <c r="AC107" s="24">
        <f t="shared" si="57"/>
        <v>8.4941586935229326E-11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5.4</v>
      </c>
      <c r="AI107" s="14">
        <f>IF('Données projet'!$A$62&gt;35,AI106+AH107-AQ106,IF(A107&lt;'Données projet'!$A$62,$AF$205^A107,IF(A107='Données projet'!$A$62,'Données projet'!$B$62,AI106+AH107-AQ106)))</f>
        <v>327.59999999999991</v>
      </c>
      <c r="AJ107" s="14">
        <f>AI107*VLOOKUP('Données projet'!$B$10,Paramètres!$A$1:$I$89,3,0)*VLOOKUP('Données projet'!$B$10,Paramètres!$A$1:$I$89,5,0)</f>
        <v>311.74415999999991</v>
      </c>
      <c r="AK107" s="14">
        <f t="shared" si="89"/>
        <v>73.632961173858902</v>
      </c>
      <c r="AL107" s="22">
        <f t="shared" si="58"/>
        <v>671.19848604447077</v>
      </c>
      <c r="AM107" s="62">
        <f t="shared" si="59"/>
        <v>964.53181937780414</v>
      </c>
      <c r="AN107" s="62">
        <f ca="1">AVERAGE(OFFSET($AM$3,0,0,'Données projet'!$E$10+1,1))-AVERAGE(OFFSET($H$3,0,0,'Données projet'!$E$10+1,1))</f>
        <v>449.16408464351673</v>
      </c>
      <c r="AO107" s="62">
        <f t="shared" si="90"/>
        <v>290.39826583283588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8.9335117293948134E-11</v>
      </c>
      <c r="AX107" s="23">
        <f t="shared" si="60"/>
        <v>8.9335117293948134E-11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5.4</v>
      </c>
      <c r="BD107" s="13">
        <f>IF('Données projet'!$A$88&gt;35,BD106+BC107-BL106,IF(A107&lt;'Données projet'!$A$88,$BA$205^A107,IF(A107='Données projet'!$A$88,'Données projet'!$B$88,BD106+BC107-BL106)))</f>
        <v>327.59999999999991</v>
      </c>
      <c r="BE107" s="14">
        <f>BD107*VLOOKUP('Données projet'!$B$11,Paramètres!$A$1:$I$89,3,0)*VLOOKUP('Données projet'!$B$11,Paramètres!$A$1:$I$89,5,0)</f>
        <v>316.85471999999993</v>
      </c>
      <c r="BF107" s="14">
        <f t="shared" si="91"/>
        <v>74.698541244494848</v>
      </c>
      <c r="BG107" s="22">
        <f t="shared" si="61"/>
        <v>681.95526333416171</v>
      </c>
      <c r="BH107" s="62">
        <f t="shared" si="62"/>
        <v>975.28859666749509</v>
      </c>
      <c r="BI107" s="62">
        <f ca="1">AVERAGE(OFFSET($BH$3,0,0,'Données projet'!$E$11+1,1))-AVERAGE(OFFSET($H$3,0,0,'Données projet'!$E$11+1,1))</f>
        <v>455.85294519779609</v>
      </c>
      <c r="BJ107" s="62">
        <f t="shared" si="92"/>
        <v>294.45557293177131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9.0799627413521027E-11</v>
      </c>
      <c r="BS107" s="24">
        <f t="shared" si="63"/>
        <v>9.0799627413521027E-11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5.6843418860808015E-14</v>
      </c>
      <c r="BZ107" s="14">
        <f>BY107*VLOOKUP('Données projet'!$B$12,Paramètres!$A$1:$I$89,3,0)*VLOOKUP('Données projet'!$B$12,Paramètres!$A$1:$I$89,5,0)</f>
        <v>4.9658410716801891E-14</v>
      </c>
      <c r="CA107" s="14">
        <f t="shared" si="93"/>
        <v>8.0934058173791862E-13</v>
      </c>
      <c r="CB107" s="22">
        <f t="shared" si="64"/>
        <v>1.4960899118586383E-12</v>
      </c>
      <c r="CC107" s="62">
        <f t="shared" si="65"/>
        <v>293.33333333333479</v>
      </c>
      <c r="CD107" s="62">
        <f ca="1">AVERAGE(OFFSET($CC$3,0,0,'Données projet'!$E$12+1,1))-AVERAGE(OFFSET($H$3,0,0,'Données projet'!$E$12+1,1))</f>
        <v>304.32767345253382</v>
      </c>
      <c r="CE107" s="62">
        <f t="shared" si="94"/>
        <v>427.16091343339173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-5.6843418860808015E-14</v>
      </c>
      <c r="CU107" s="18">
        <f>CT107*VLOOKUP('Données projet'!$B$13,Paramètres!$A$1:$I$89,3,0)*VLOOKUP('Données projet'!$B$13,Paramètres!$A$1:$I$89,5,0)</f>
        <v>-5.1431925385259088E-14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350.06545824795847</v>
      </c>
      <c r="CZ107" s="62">
        <f t="shared" si="96"/>
        <v>513.80016421153414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5.4</v>
      </c>
      <c r="DO107" s="13">
        <f>IF('Données projet'!$A$166&gt;35,DO106+DN107-DW106,IF(A107&lt;'Données projet'!$A$166,$DL$205^A107,IF(A107='Données projet'!$A$166,'Données projet'!$B$166,DO106+DN107-DW106)))</f>
        <v>327.59999999999991</v>
      </c>
      <c r="DP107" s="18">
        <f>DO107*VLOOKUP('Données projet'!$B$14,Paramètres!$A$1:$I$89,3,0)*VLOOKUP('Données projet'!$B$14,Paramètres!$A$1:$I$89,5,0)</f>
        <v>260.63855999999993</v>
      </c>
      <c r="DQ107" s="14">
        <f t="shared" si="97"/>
        <v>62.858473704931839</v>
      </c>
      <c r="DR107" s="22">
        <f t="shared" si="70"/>
        <v>563.42400036942274</v>
      </c>
      <c r="DS107" s="62">
        <f t="shared" si="71"/>
        <v>856.75733370275611</v>
      </c>
      <c r="DT107" s="62">
        <f ca="1">AVERAGE(OFFSET($DS$3,0,0,'Données projet'!$E$14+1,1))-AVERAGE(OFFSET($H$3,0,0,'Données projet'!$E$14+1,1))</f>
        <v>382.14353215900121</v>
      </c>
      <c r="DU107" s="62">
        <f t="shared" si="98"/>
        <v>249.73945975250177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7.4690016098218947E-11</v>
      </c>
      <c r="ED107" s="24">
        <f t="shared" si="72"/>
        <v>7.4690016098218947E-11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333</v>
      </c>
      <c r="L108" s="13">
        <f>VLOOKUP(A108,'Données projet'!$A$35:$I$55,9,0)</f>
        <v>5.4</v>
      </c>
      <c r="M108" s="13">
        <f t="array" ref="M108">INDEX(L:L,MIN(IF(ISNUMBER(L108:L304),ROW(L108:L304),"")))</f>
        <v>5.4</v>
      </c>
      <c r="N108" s="14">
        <f>IF('Données projet'!$A$36&gt;35,N107+M108-V107,IF(A108&lt;'Données projet'!$A$36,$K$205^A108,IF(A108='Données projet'!$A$36,'Données projet'!$B$36,N107+M108-V107)))</f>
        <v>332.99999999999989</v>
      </c>
      <c r="O108" s="14">
        <f>N108*VLOOKUP('Données projet'!$B$9,Paramètres!$A$1:$I$89,3,0)*VLOOKUP('Données projet'!$B$9,Paramètres!$A$1:$I$89,5,0)</f>
        <v>301.2983999999999</v>
      </c>
      <c r="P108" s="14">
        <f t="shared" si="87"/>
        <v>71.448589534990518</v>
      </c>
      <c r="Q108" s="22">
        <f t="shared" si="107"/>
        <v>649.20100677344158</v>
      </c>
      <c r="R108" s="62">
        <f t="shared" si="55"/>
        <v>942.53434010677483</v>
      </c>
      <c r="S108" s="62">
        <f ca="1">AVERAGE(OFFSET($R$3,0,0,'Données projet'!$E$9+1,1))-AVERAGE(OFFSET($H$3,0,0,'Données projet'!$E$9+1,1))</f>
        <v>429.08375622925655</v>
      </c>
      <c r="T108" s="62">
        <f t="shared" si="88"/>
        <v>278.21741231699929</v>
      </c>
      <c r="U108" s="16">
        <f>IF(ISNA(VLOOKUP(A108,'Données projet'!$A$35:$I$55,3,0)),0,VLOOKUP(A108,'Données projet'!$A$35:$I$55,3,0))</f>
        <v>18</v>
      </c>
      <c r="V108" s="16">
        <f>IF(ISNA(VLOOKUP(A108,'Données projet'!$A$35:$I$55,4,0)),0,VLOOKUP(A108,'Données projet'!$A$35:$I$55,4,0))</f>
        <v>26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6.0062772126647305E-11</v>
      </c>
      <c r="AC108" s="24">
        <f t="shared" si="57"/>
        <v>6.0062772126647305E-11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333</v>
      </c>
      <c r="AG108" s="13">
        <f>VLOOKUP(A108,'Données projet'!$A$61:$I$81,9,0)</f>
        <v>5.4</v>
      </c>
      <c r="AH108" s="13">
        <f t="array" ref="AH108">INDEX(AG:AG,MIN(IF(ISNUMBER(AG108:AG304),ROW(AG108:AG304),"")))</f>
        <v>5.4</v>
      </c>
      <c r="AI108" s="14">
        <f>IF('Données projet'!$A$62&gt;35,AI107+AH108-AQ107,IF(A108&lt;'Données projet'!$A$62,$AF$205^A108,IF(A108='Données projet'!$A$62,'Données projet'!$B$62,AI107+AH108-AQ107)))</f>
        <v>332.99999999999989</v>
      </c>
      <c r="AJ108" s="14">
        <f>AI108*VLOOKUP('Données projet'!$B$10,Paramètres!$A$1:$I$89,3,0)*VLOOKUP('Données projet'!$B$10,Paramètres!$A$1:$I$89,5,0)</f>
        <v>316.88279999999992</v>
      </c>
      <c r="AK108" s="14">
        <f t="shared" si="89"/>
        <v>74.70439052583346</v>
      </c>
      <c r="AL108" s="22">
        <f t="shared" si="58"/>
        <v>682.01435683249304</v>
      </c>
      <c r="AM108" s="62">
        <f t="shared" si="59"/>
        <v>975.34769016582641</v>
      </c>
      <c r="AN108" s="62">
        <f ca="1">AVERAGE(OFFSET($AM$3,0,0,'Données projet'!$E$10+1,1))-AVERAGE(OFFSET($H$3,0,0,'Données projet'!$E$10+1,1))</f>
        <v>449.16408464351673</v>
      </c>
      <c r="AO108" s="62">
        <f t="shared" si="90"/>
        <v>290.39826583283588</v>
      </c>
      <c r="AP108" s="16">
        <f>IF(ISNA(VLOOKUP(A108,'Données projet'!$A$61:$I$81,3,0)),0,VLOOKUP(A108,'Données projet'!$A$61:$I$81,3,0))</f>
        <v>18</v>
      </c>
      <c r="AQ108" s="16">
        <f>IF(ISNA(VLOOKUP(A108,'Données projet'!$A$61:$I$81,4,0)),0,VLOOKUP(A108,'Données projet'!$A$61:$I$81,4,0))</f>
        <v>26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6.316946723664634E-11</v>
      </c>
      <c r="AX108" s="23">
        <f t="shared" si="60"/>
        <v>6.316946723664634E-11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333</v>
      </c>
      <c r="BB108" s="13">
        <f>VLOOKUP(A108,'Données projet'!$A$87:$I$107,9,0)</f>
        <v>5.4</v>
      </c>
      <c r="BC108" s="13">
        <f t="array" ref="BC108">INDEX(BB:BB,MIN(IF(ISNUMBER(BB108:BB304),ROW(BB108:BB304),"")))</f>
        <v>5.4</v>
      </c>
      <c r="BD108" s="13">
        <f>IF('Données projet'!$A$88&gt;35,BD107+BC108-BL107,IF(A108&lt;'Données projet'!$A$88,$BA$205^A108,IF(A108='Données projet'!$A$88,'Données projet'!$B$88,BD107+BC108-BL107)))</f>
        <v>332.99999999999989</v>
      </c>
      <c r="BE108" s="14">
        <f>BD108*VLOOKUP('Données projet'!$B$11,Paramètres!$A$1:$I$89,3,0)*VLOOKUP('Données projet'!$B$11,Paramètres!$A$1:$I$89,5,0)</f>
        <v>322.0775999999999</v>
      </c>
      <c r="BF108" s="14">
        <f t="shared" si="91"/>
        <v>75.785475796129404</v>
      </c>
      <c r="BG108" s="22">
        <f t="shared" si="61"/>
        <v>692.94485701159181</v>
      </c>
      <c r="BH108" s="62">
        <f t="shared" si="62"/>
        <v>986.27819034492518</v>
      </c>
      <c r="BI108" s="62">
        <f ca="1">AVERAGE(OFFSET($BH$3,0,0,'Données projet'!$E$11+1,1))-AVERAGE(OFFSET($H$3,0,0,'Données projet'!$E$11+1,1))</f>
        <v>455.85294519779609</v>
      </c>
      <c r="BJ108" s="62">
        <f t="shared" si="92"/>
        <v>294.45557293177131</v>
      </c>
      <c r="BK108" s="16">
        <f>IF(ISNA(VLOOKUP(A108,'Données projet'!$A$87:$I$107,3,0)),0,VLOOKUP(A108,'Données projet'!$A$87:$I$107,3,0))</f>
        <v>18</v>
      </c>
      <c r="BL108" s="16">
        <f>IF(ISNA(VLOOKUP(A108,'Données projet'!$A$87:$I$107,4,0)),0,VLOOKUP(A108,'Données projet'!$A$87:$I$107,4,0))</f>
        <v>26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6.4205032273312655E-11</v>
      </c>
      <c r="BS108" s="24">
        <f t="shared" si="63"/>
        <v>6.4205032273312655E-11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5.6843418860808015E-14</v>
      </c>
      <c r="BZ108" s="14">
        <f>BY108*VLOOKUP('Données projet'!$B$12,Paramètres!$A$1:$I$89,3,0)*VLOOKUP('Données projet'!$B$12,Paramètres!$A$1:$I$89,5,0)</f>
        <v>4.9658410716801891E-14</v>
      </c>
      <c r="CA108" s="14">
        <f t="shared" si="93"/>
        <v>8.0934058173791862E-13</v>
      </c>
      <c r="CB108" s="22">
        <f t="shared" si="64"/>
        <v>1.4960899118586383E-12</v>
      </c>
      <c r="CC108" s="62">
        <f t="shared" si="65"/>
        <v>293.33333333333479</v>
      </c>
      <c r="CD108" s="62">
        <f ca="1">AVERAGE(OFFSET($CC$3,0,0,'Données projet'!$E$12+1,1))-AVERAGE(OFFSET($H$3,0,0,'Données projet'!$E$12+1,1))</f>
        <v>304.32767345253382</v>
      </c>
      <c r="CE108" s="62">
        <f t="shared" si="94"/>
        <v>427.16091343339173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-5.6843418860808015E-14</v>
      </c>
      <c r="CU108" s="18">
        <f>CT108*VLOOKUP('Données projet'!$B$13,Paramètres!$A$1:$I$89,3,0)*VLOOKUP('Données projet'!$B$13,Paramètres!$A$1:$I$89,5,0)</f>
        <v>-5.1431925385259088E-14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350.06545824795847</v>
      </c>
      <c r="CZ108" s="62">
        <f t="shared" si="96"/>
        <v>513.80016421153414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>
        <f>VLOOKUP(A108,'Données projet'!$A$165:$I$185,2,0)</f>
        <v>333</v>
      </c>
      <c r="DM108" s="13">
        <f>VLOOKUP(A108,'Données projet'!$A$165:$I$185,9,0)</f>
        <v>5.4</v>
      </c>
      <c r="DN108" s="13">
        <f t="array" ref="DN108">INDEX(DM:DM,MIN(IF(ISNUMBER(DM108:DM304),ROW(DM108:DM304),"")))</f>
        <v>5.4</v>
      </c>
      <c r="DO108" s="13">
        <f>IF('Données projet'!$A$166&gt;35,DO107+DN108-DW107,IF(A108&lt;'Données projet'!$A$166,$DL$205^A108,IF(A108='Données projet'!$A$166,'Données projet'!$B$166,DO107+DN108-DW107)))</f>
        <v>332.99999999999989</v>
      </c>
      <c r="DP108" s="18">
        <f>DO108*VLOOKUP('Données projet'!$B$14,Paramètres!$A$1:$I$89,3,0)*VLOOKUP('Données projet'!$B$14,Paramètres!$A$1:$I$89,5,0)</f>
        <v>264.93479999999994</v>
      </c>
      <c r="DQ108" s="14">
        <f t="shared" si="97"/>
        <v>63.77312405545576</v>
      </c>
      <c r="DR108" s="22">
        <f t="shared" si="70"/>
        <v>572.49963439658529</v>
      </c>
      <c r="DS108" s="62">
        <f t="shared" si="71"/>
        <v>865.83296772991866</v>
      </c>
      <c r="DT108" s="62">
        <f ca="1">AVERAGE(OFFSET($DS$3,0,0,'Données projet'!$E$14+1,1))-AVERAGE(OFFSET($H$3,0,0,'Données projet'!$E$14+1,1))</f>
        <v>382.14353215900121</v>
      </c>
      <c r="DU108" s="62">
        <f t="shared" si="98"/>
        <v>249.73945975250177</v>
      </c>
      <c r="DV108" s="16">
        <f>IF(ISNA(VLOOKUP(A108,'Données projet'!$A$165:$I$185,3,0)),0,VLOOKUP(A108,'Données projet'!$A$165:$I$185,3,0))</f>
        <v>18</v>
      </c>
      <c r="DW108" s="16">
        <f>IF(ISNA(VLOOKUP(A108,'Données projet'!$A$165:$I$185,4,0)),0,VLOOKUP(A108,'Données projet'!$A$165:$I$185,4,0))</f>
        <v>26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5.2813816869983017E-11</v>
      </c>
      <c r="ED108" s="24">
        <f t="shared" si="72"/>
        <v>5.2813816869983017E-11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5</v>
      </c>
      <c r="N109" s="14">
        <f>IF('Données projet'!$A$36&gt;35,N108+M109-V108,IF(A109&lt;'Données projet'!$A$36,$K$205^A109,IF(A109='Données projet'!$A$36,'Données projet'!$B$36,N108+M109-V108)))</f>
        <v>311.99999999999989</v>
      </c>
      <c r="O109" s="14">
        <f>N109*VLOOKUP('Données projet'!$B$9,Paramètres!$A$1:$I$89,3,0)*VLOOKUP('Données projet'!$B$9,Paramètres!$A$1:$I$89,5,0)</f>
        <v>282.29759999999987</v>
      </c>
      <c r="P109" s="14">
        <f t="shared" si="87"/>
        <v>67.452326629470178</v>
      </c>
      <c r="Q109" s="22">
        <f t="shared" si="107"/>
        <v>609.14778887966042</v>
      </c>
      <c r="R109" s="62">
        <f t="shared" si="55"/>
        <v>902.4811222129938</v>
      </c>
      <c r="S109" s="62">
        <f ca="1">AVERAGE(OFFSET($R$3,0,0,'Données projet'!$E$9+1,1))-AVERAGE(OFFSET($H$3,0,0,'Données projet'!$E$9+1,1))</f>
        <v>429.08375622925655</v>
      </c>
      <c r="T109" s="62">
        <f t="shared" si="88"/>
        <v>278.21741231699929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4.2470793467614663E-11</v>
      </c>
      <c r="AC109" s="24">
        <f t="shared" si="57"/>
        <v>4.2470793467614663E-11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5</v>
      </c>
      <c r="AI109" s="14">
        <f>IF('Données projet'!$A$62&gt;35,AI108+AH109-AQ108,IF(A109&lt;'Données projet'!$A$62,$AF$205^A109,IF(A109='Données projet'!$A$62,'Données projet'!$B$62,AI108+AH109-AQ108)))</f>
        <v>311.99999999999989</v>
      </c>
      <c r="AJ109" s="14">
        <f>AI109*VLOOKUP('Données projet'!$B$10,Paramètres!$A$1:$I$89,3,0)*VLOOKUP('Données projet'!$B$10,Paramètres!$A$1:$I$89,5,0)</f>
        <v>296.89919999999989</v>
      </c>
      <c r="AK109" s="14">
        <f t="shared" si="89"/>
        <v>70.526024141264102</v>
      </c>
      <c r="AL109" s="22">
        <f t="shared" si="58"/>
        <v>639.932265379368</v>
      </c>
      <c r="AM109" s="62">
        <f t="shared" si="59"/>
        <v>933.26559871270138</v>
      </c>
      <c r="AN109" s="62">
        <f ca="1">AVERAGE(OFFSET($AM$3,0,0,'Données projet'!$E$10+1,1))-AVERAGE(OFFSET($H$3,0,0,'Données projet'!$E$10+1,1))</f>
        <v>449.16408464351673</v>
      </c>
      <c r="AO109" s="62">
        <f t="shared" si="90"/>
        <v>290.39826583283588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4.4667558646974067E-11</v>
      </c>
      <c r="AX109" s="23">
        <f t="shared" si="60"/>
        <v>4.4667558646974067E-11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5</v>
      </c>
      <c r="BD109" s="13">
        <f>IF('Données projet'!$A$88&gt;35,BD108+BC109-BL108,IF(A109&lt;'Données projet'!$A$88,$BA$205^A109,IF(A109='Données projet'!$A$88,'Données projet'!$B$88,BD108+BC109-BL108)))</f>
        <v>311.99999999999989</v>
      </c>
      <c r="BE109" s="14">
        <f>BD109*VLOOKUP('Données projet'!$B$11,Paramètres!$A$1:$I$89,3,0)*VLOOKUP('Données projet'!$B$11,Paramètres!$A$1:$I$89,5,0)</f>
        <v>301.76639999999992</v>
      </c>
      <c r="BF109" s="14">
        <f t="shared" si="91"/>
        <v>71.546642144235292</v>
      </c>
      <c r="BG109" s="22">
        <f t="shared" si="61"/>
        <v>650.18688173454302</v>
      </c>
      <c r="BH109" s="62">
        <f t="shared" si="62"/>
        <v>943.52021506787628</v>
      </c>
      <c r="BI109" s="62">
        <f ca="1">AVERAGE(OFFSET($BH$3,0,0,'Données projet'!$E$11+1,1))-AVERAGE(OFFSET($H$3,0,0,'Données projet'!$E$11+1,1))</f>
        <v>455.85294519779609</v>
      </c>
      <c r="BJ109" s="62">
        <f t="shared" si="92"/>
        <v>294.45557293177131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4.5399813706760514E-11</v>
      </c>
      <c r="BS109" s="24">
        <f t="shared" si="63"/>
        <v>4.5399813706760514E-11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5.6843418860808015E-14</v>
      </c>
      <c r="BZ109" s="14">
        <f>BY109*VLOOKUP('Données projet'!$B$12,Paramètres!$A$1:$I$89,3,0)*VLOOKUP('Données projet'!$B$12,Paramètres!$A$1:$I$89,5,0)</f>
        <v>4.9658410716801891E-14</v>
      </c>
      <c r="CA109" s="14">
        <f t="shared" si="93"/>
        <v>8.0934058173791862E-13</v>
      </c>
      <c r="CB109" s="22">
        <f t="shared" si="64"/>
        <v>1.4960899118586383E-12</v>
      </c>
      <c r="CC109" s="62">
        <f t="shared" si="65"/>
        <v>293.33333333333479</v>
      </c>
      <c r="CD109" s="62">
        <f ca="1">AVERAGE(OFFSET($CC$3,0,0,'Données projet'!$E$12+1,1))-AVERAGE(OFFSET($H$3,0,0,'Données projet'!$E$12+1,1))</f>
        <v>304.32767345253382</v>
      </c>
      <c r="CE109" s="62">
        <f t="shared" si="94"/>
        <v>427.16091343339173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-5.6843418860808015E-14</v>
      </c>
      <c r="CU109" s="18">
        <f>CT109*VLOOKUP('Données projet'!$B$13,Paramètres!$A$1:$I$89,3,0)*VLOOKUP('Données projet'!$B$13,Paramètres!$A$1:$I$89,5,0)</f>
        <v>-5.1431925385259088E-14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350.06545824795847</v>
      </c>
      <c r="CZ109" s="62">
        <f t="shared" si="96"/>
        <v>513.80016421153414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5</v>
      </c>
      <c r="DO109" s="13">
        <f>IF('Données projet'!$A$166&gt;35,DO108+DN109-DW108,IF(A109&lt;'Données projet'!$A$166,$DL$205^A109,IF(A109='Données projet'!$A$166,'Données projet'!$B$166,DO108+DN109-DW108)))</f>
        <v>311.99999999999989</v>
      </c>
      <c r="DP109" s="18">
        <f>DO109*VLOOKUP('Données projet'!$B$14,Paramètres!$A$1:$I$89,3,0)*VLOOKUP('Données projet'!$B$14,Paramètres!$A$1:$I$89,5,0)</f>
        <v>248.22719999999993</v>
      </c>
      <c r="DQ109" s="14">
        <f t="shared" si="97"/>
        <v>60.20616532763993</v>
      </c>
      <c r="DR109" s="22">
        <f t="shared" si="70"/>
        <v>537.18811127897277</v>
      </c>
      <c r="DS109" s="62">
        <f t="shared" si="71"/>
        <v>830.52144461230614</v>
      </c>
      <c r="DT109" s="62">
        <f ca="1">AVERAGE(OFFSET($DS$3,0,0,'Données projet'!$E$14+1,1))-AVERAGE(OFFSET($H$3,0,0,'Données projet'!$E$14+1,1))</f>
        <v>382.14353215900121</v>
      </c>
      <c r="DU109" s="62">
        <f t="shared" si="98"/>
        <v>249.73945975250177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3.7345008049109473E-11</v>
      </c>
      <c r="ED109" s="24">
        <f t="shared" si="72"/>
        <v>3.7345008049109473E-11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5</v>
      </c>
      <c r="N110" s="14">
        <f>IF('Données projet'!$A$36&gt;35,N109+M110-V109,IF(A110&lt;'Données projet'!$A$36,$K$205^A110,IF(A110='Données projet'!$A$36,'Données projet'!$B$36,N109+M110-V109)))</f>
        <v>316.99999999999989</v>
      </c>
      <c r="O110" s="14">
        <f>N110*VLOOKUP('Données projet'!$B$9,Paramètres!$A$1:$I$89,3,0)*VLOOKUP('Données projet'!$B$9,Paramètres!$A$1:$I$89,5,0)</f>
        <v>286.82159999999988</v>
      </c>
      <c r="P110" s="14">
        <f t="shared" si="87"/>
        <v>68.406583284351413</v>
      </c>
      <c r="Q110" s="22">
        <f t="shared" si="107"/>
        <v>618.68908588691181</v>
      </c>
      <c r="R110" s="62">
        <f t="shared" si="55"/>
        <v>912.02241922024518</v>
      </c>
      <c r="S110" s="62">
        <f ca="1">AVERAGE(OFFSET($R$3,0,0,'Données projet'!$E$9+1,1))-AVERAGE(OFFSET($H$3,0,0,'Données projet'!$E$9+1,1))</f>
        <v>429.08375622925655</v>
      </c>
      <c r="T110" s="62">
        <f t="shared" si="88"/>
        <v>278.21741231699929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3.0031386063323652E-11</v>
      </c>
      <c r="AC110" s="24">
        <f t="shared" si="57"/>
        <v>3.0031386063323652E-11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5</v>
      </c>
      <c r="AI110" s="14">
        <f>IF('Données projet'!$A$62&gt;35,AI109+AH110-AQ109,IF(A110&lt;'Données projet'!$A$62,$AF$205^A110,IF(A110='Données projet'!$A$62,'Données projet'!$B$62,AI109+AH110-AQ109)))</f>
        <v>316.99999999999989</v>
      </c>
      <c r="AJ110" s="14">
        <f>AI110*VLOOKUP('Données projet'!$B$10,Paramètres!$A$1:$I$89,3,0)*VLOOKUP('Données projet'!$B$10,Paramètres!$A$1:$I$89,5,0)</f>
        <v>301.65719999999988</v>
      </c>
      <c r="AK110" s="14">
        <f t="shared" si="89"/>
        <v>71.523764786280154</v>
      </c>
      <c r="AL110" s="22">
        <f t="shared" si="58"/>
        <v>649.95684700277104</v>
      </c>
      <c r="AM110" s="62">
        <f t="shared" si="59"/>
        <v>943.29018033610441</v>
      </c>
      <c r="AN110" s="62">
        <f ca="1">AVERAGE(OFFSET($AM$3,0,0,'Données projet'!$E$10+1,1))-AVERAGE(OFFSET($H$3,0,0,'Données projet'!$E$10+1,1))</f>
        <v>449.16408464351673</v>
      </c>
      <c r="AO110" s="62">
        <f t="shared" si="90"/>
        <v>290.39826583283588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3.158473361832317E-11</v>
      </c>
      <c r="AX110" s="23">
        <f t="shared" si="60"/>
        <v>3.158473361832317E-11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5</v>
      </c>
      <c r="BD110" s="13">
        <f>IF('Données projet'!$A$88&gt;35,BD109+BC110-BL109,IF(A110&lt;'Données projet'!$A$88,$BA$205^A110,IF(A110='Données projet'!$A$88,'Données projet'!$B$88,BD109+BC110-BL109)))</f>
        <v>316.99999999999989</v>
      </c>
      <c r="BE110" s="14">
        <f>BD110*VLOOKUP('Données projet'!$B$11,Paramètres!$A$1:$I$89,3,0)*VLOOKUP('Données projet'!$B$11,Paramètres!$A$1:$I$89,5,0)</f>
        <v>306.60239999999993</v>
      </c>
      <c r="BF110" s="14">
        <f t="shared" si="91"/>
        <v>72.558821602115088</v>
      </c>
      <c r="BG110" s="22">
        <f t="shared" si="61"/>
        <v>660.37246095701687</v>
      </c>
      <c r="BH110" s="62">
        <f t="shared" si="62"/>
        <v>953.70579429035024</v>
      </c>
      <c r="BI110" s="62">
        <f ca="1">AVERAGE(OFFSET($BH$3,0,0,'Données projet'!$E$11+1,1))-AVERAGE(OFFSET($H$3,0,0,'Données projet'!$E$11+1,1))</f>
        <v>455.85294519779609</v>
      </c>
      <c r="BJ110" s="62">
        <f t="shared" si="92"/>
        <v>294.45557293177131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3.2102516136656327E-11</v>
      </c>
      <c r="BS110" s="24">
        <f t="shared" si="63"/>
        <v>3.2102516136656327E-11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5.6843418860808015E-14</v>
      </c>
      <c r="BZ110" s="14">
        <f>BY110*VLOOKUP('Données projet'!$B$12,Paramètres!$A$1:$I$89,3,0)*VLOOKUP('Données projet'!$B$12,Paramètres!$A$1:$I$89,5,0)</f>
        <v>4.9658410716801891E-14</v>
      </c>
      <c r="CA110" s="14">
        <f t="shared" si="93"/>
        <v>8.0934058173791862E-13</v>
      </c>
      <c r="CB110" s="22">
        <f t="shared" si="64"/>
        <v>1.4960899118586383E-12</v>
      </c>
      <c r="CC110" s="62">
        <f t="shared" si="65"/>
        <v>293.33333333333479</v>
      </c>
      <c r="CD110" s="62">
        <f ca="1">AVERAGE(OFFSET($CC$3,0,0,'Données projet'!$E$12+1,1))-AVERAGE(OFFSET($H$3,0,0,'Données projet'!$E$12+1,1))</f>
        <v>304.32767345253382</v>
      </c>
      <c r="CE110" s="62">
        <f t="shared" si="94"/>
        <v>427.16091343339173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-5.6843418860808015E-14</v>
      </c>
      <c r="CU110" s="18">
        <f>CT110*VLOOKUP('Données projet'!$B$13,Paramètres!$A$1:$I$89,3,0)*VLOOKUP('Données projet'!$B$13,Paramètres!$A$1:$I$89,5,0)</f>
        <v>-5.1431925385259088E-14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350.06545824795847</v>
      </c>
      <c r="CZ110" s="62">
        <f t="shared" si="96"/>
        <v>513.80016421153414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5</v>
      </c>
      <c r="DO110" s="13">
        <f>IF('Données projet'!$A$166&gt;35,DO109+DN110-DW109,IF(A110&lt;'Données projet'!$A$166,$DL$205^A110,IF(A110='Données projet'!$A$166,'Données projet'!$B$166,DO109+DN110-DW109)))</f>
        <v>316.99999999999989</v>
      </c>
      <c r="DP110" s="18">
        <f>DO110*VLOOKUP('Données projet'!$B$14,Paramètres!$A$1:$I$89,3,0)*VLOOKUP('Données projet'!$B$14,Paramètres!$A$1:$I$89,5,0)</f>
        <v>252.20519999999991</v>
      </c>
      <c r="DQ110" s="14">
        <f t="shared" si="97"/>
        <v>61.057909615785505</v>
      </c>
      <c r="DR110" s="22">
        <f t="shared" si="70"/>
        <v>545.59991591415962</v>
      </c>
      <c r="DS110" s="62">
        <f t="shared" si="71"/>
        <v>838.93324924749299</v>
      </c>
      <c r="DT110" s="62">
        <f ca="1">AVERAGE(OFFSET($DS$3,0,0,'Données projet'!$E$14+1,1))-AVERAGE(OFFSET($H$3,0,0,'Données projet'!$E$14+1,1))</f>
        <v>382.14353215900121</v>
      </c>
      <c r="DU110" s="62">
        <f t="shared" si="98"/>
        <v>249.73945975250177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2.6406908434991509E-11</v>
      </c>
      <c r="ED110" s="24">
        <f t="shared" si="72"/>
        <v>2.6406908434991509E-11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5</v>
      </c>
      <c r="N111" s="14">
        <f>IF('Données projet'!$A$36&gt;35,N110+M111-V110,IF(A111&lt;'Données projet'!$A$36,$K$205^A111,IF(A111='Données projet'!$A$36,'Données projet'!$B$36,N110+M111-V110)))</f>
        <v>321.99999999999989</v>
      </c>
      <c r="O111" s="14">
        <f>N111*VLOOKUP('Données projet'!$B$9,Paramètres!$A$1:$I$89,3,0)*VLOOKUP('Données projet'!$B$9,Paramètres!$A$1:$I$89,5,0)</f>
        <v>291.34559999999993</v>
      </c>
      <c r="P111" s="14">
        <f t="shared" si="87"/>
        <v>69.359089490698707</v>
      </c>
      <c r="Q111" s="22">
        <f t="shared" si="107"/>
        <v>628.22733419630015</v>
      </c>
      <c r="R111" s="62">
        <f t="shared" si="55"/>
        <v>921.56066752963352</v>
      </c>
      <c r="S111" s="62">
        <f ca="1">AVERAGE(OFFSET($R$3,0,0,'Données projet'!$E$9+1,1))-AVERAGE(OFFSET($H$3,0,0,'Données projet'!$E$9+1,1))</f>
        <v>429.08375622925655</v>
      </c>
      <c r="T111" s="62">
        <f t="shared" si="88"/>
        <v>278.21741231699929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2.1235396733807332E-11</v>
      </c>
      <c r="AC111" s="24">
        <f t="shared" si="57"/>
        <v>2.1235396733807332E-11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5</v>
      </c>
      <c r="AI111" s="14">
        <f>IF('Données projet'!$A$62&gt;35,AI110+AH111-AQ110,IF(A111&lt;'Données projet'!$A$62,$AF$205^A111,IF(A111='Données projet'!$A$62,'Données projet'!$B$62,AI110+AH111-AQ110)))</f>
        <v>321.99999999999989</v>
      </c>
      <c r="AJ111" s="14">
        <f>AI111*VLOOKUP('Données projet'!$B$10,Paramètres!$A$1:$I$89,3,0)*VLOOKUP('Données projet'!$B$10,Paramètres!$A$1:$I$89,5,0)</f>
        <v>306.41519999999991</v>
      </c>
      <c r="AK111" s="14">
        <f t="shared" si="89"/>
        <v>72.519675217547672</v>
      </c>
      <c r="AL111" s="22">
        <f t="shared" si="58"/>
        <v>659.97824100389539</v>
      </c>
      <c r="AM111" s="62">
        <f t="shared" si="59"/>
        <v>953.31157433722865</v>
      </c>
      <c r="AN111" s="62">
        <f ca="1">AVERAGE(OFFSET($AM$3,0,0,'Données projet'!$E$10+1,1))-AVERAGE(OFFSET($H$3,0,0,'Données projet'!$E$10+1,1))</f>
        <v>449.16408464351673</v>
      </c>
      <c r="AO111" s="62">
        <f t="shared" si="90"/>
        <v>290.39826583283588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2.2333779323487034E-11</v>
      </c>
      <c r="AX111" s="23">
        <f t="shared" si="60"/>
        <v>2.2333779323487034E-11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5</v>
      </c>
      <c r="BD111" s="13">
        <f>IF('Données projet'!$A$88&gt;35,BD110+BC111-BL110,IF(A111&lt;'Données projet'!$A$88,$BA$205^A111,IF(A111='Données projet'!$A$88,'Données projet'!$B$88,BD110+BC111-BL110)))</f>
        <v>321.99999999999989</v>
      </c>
      <c r="BE111" s="14">
        <f>BD111*VLOOKUP('Données projet'!$B$11,Paramètres!$A$1:$I$89,3,0)*VLOOKUP('Données projet'!$B$11,Paramètres!$A$1:$I$89,5,0)</f>
        <v>311.43839999999989</v>
      </c>
      <c r="BF111" s="14">
        <f t="shared" si="91"/>
        <v>73.569144360291361</v>
      </c>
      <c r="BG111" s="22">
        <f t="shared" si="61"/>
        <v>670.55480642750729</v>
      </c>
      <c r="BH111" s="62">
        <f t="shared" si="62"/>
        <v>963.88813976084066</v>
      </c>
      <c r="BI111" s="62">
        <f ca="1">AVERAGE(OFFSET($BH$3,0,0,'Données projet'!$E$11+1,1))-AVERAGE(OFFSET($H$3,0,0,'Données projet'!$E$11+1,1))</f>
        <v>455.85294519779609</v>
      </c>
      <c r="BJ111" s="62">
        <f t="shared" si="92"/>
        <v>294.45557293177131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2.2699906853380257E-11</v>
      </c>
      <c r="BS111" s="24">
        <f t="shared" si="63"/>
        <v>2.2699906853380257E-11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5.6843418860808015E-14</v>
      </c>
      <c r="BZ111" s="14">
        <f>BY111*VLOOKUP('Données projet'!$B$12,Paramètres!$A$1:$I$89,3,0)*VLOOKUP('Données projet'!$B$12,Paramètres!$A$1:$I$89,5,0)</f>
        <v>4.9658410716801891E-14</v>
      </c>
      <c r="CA111" s="14">
        <f t="shared" si="93"/>
        <v>8.0934058173791862E-13</v>
      </c>
      <c r="CB111" s="22">
        <f t="shared" si="64"/>
        <v>1.4960899118586383E-12</v>
      </c>
      <c r="CC111" s="62">
        <f t="shared" si="65"/>
        <v>293.33333333333479</v>
      </c>
      <c r="CD111" s="62">
        <f ca="1">AVERAGE(OFFSET($CC$3,0,0,'Données projet'!$E$12+1,1))-AVERAGE(OFFSET($H$3,0,0,'Données projet'!$E$12+1,1))</f>
        <v>304.32767345253382</v>
      </c>
      <c r="CE111" s="62">
        <f t="shared" si="94"/>
        <v>427.16091343339173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-5.6843418860808015E-14</v>
      </c>
      <c r="CU111" s="18">
        <f>CT111*VLOOKUP('Données projet'!$B$13,Paramètres!$A$1:$I$89,3,0)*VLOOKUP('Données projet'!$B$13,Paramètres!$A$1:$I$89,5,0)</f>
        <v>-5.1431925385259088E-14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350.06545824795847</v>
      </c>
      <c r="CZ111" s="62">
        <f t="shared" si="96"/>
        <v>513.80016421153414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5</v>
      </c>
      <c r="DO111" s="13">
        <f>IF('Données projet'!$A$166&gt;35,DO110+DN111-DW110,IF(A111&lt;'Données projet'!$A$166,$DL$205^A111,IF(A111='Données projet'!$A$166,'Données projet'!$B$166,DO110+DN111-DW110)))</f>
        <v>321.99999999999989</v>
      </c>
      <c r="DP111" s="18">
        <f>DO111*VLOOKUP('Données projet'!$B$14,Paramètres!$A$1:$I$89,3,0)*VLOOKUP('Données projet'!$B$14,Paramètres!$A$1:$I$89,5,0)</f>
        <v>256.18319999999994</v>
      </c>
      <c r="DQ111" s="14">
        <f t="shared" si="97"/>
        <v>61.908091499799177</v>
      </c>
      <c r="DR111" s="22">
        <f t="shared" si="70"/>
        <v>554.00899936215012</v>
      </c>
      <c r="DS111" s="62">
        <f t="shared" si="71"/>
        <v>847.34233269548349</v>
      </c>
      <c r="DT111" s="62">
        <f ca="1">AVERAGE(OFFSET($DS$3,0,0,'Données projet'!$E$14+1,1))-AVERAGE(OFFSET($H$3,0,0,'Données projet'!$E$14+1,1))</f>
        <v>382.14353215900121</v>
      </c>
      <c r="DU111" s="62">
        <f t="shared" si="98"/>
        <v>249.73945975250177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1.8672504024554737E-11</v>
      </c>
      <c r="ED111" s="24">
        <f t="shared" si="72"/>
        <v>1.8672504024554737E-11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5</v>
      </c>
      <c r="N112" s="14">
        <f>IF('Données projet'!$A$36&gt;35,N111+M112-V111,IF(A112&lt;'Données projet'!$A$36,$K$205^A112,IF(A112='Données projet'!$A$36,'Données projet'!$B$36,N111+M112-V111)))</f>
        <v>326.99999999999989</v>
      </c>
      <c r="O112" s="14">
        <f>N112*VLOOKUP('Données projet'!$B$9,Paramètres!$A$1:$I$89,3,0)*VLOOKUP('Données projet'!$B$9,Paramètres!$A$1:$I$89,5,0)</f>
        <v>295.86959999999988</v>
      </c>
      <c r="P112" s="14">
        <f t="shared" si="87"/>
        <v>70.309875568291218</v>
      </c>
      <c r="Q112" s="22">
        <f t="shared" si="107"/>
        <v>637.76258661477357</v>
      </c>
      <c r="R112" s="62">
        <f t="shared" si="55"/>
        <v>931.09591994810694</v>
      </c>
      <c r="S112" s="62">
        <f ca="1">AVERAGE(OFFSET($R$3,0,0,'Données projet'!$E$9+1,1))-AVERAGE(OFFSET($H$3,0,0,'Données projet'!$E$9+1,1))</f>
        <v>429.08375622925655</v>
      </c>
      <c r="T112" s="62">
        <f t="shared" si="88"/>
        <v>278.21741231699929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1.5015693031661826E-11</v>
      </c>
      <c r="AC112" s="24">
        <f t="shared" si="57"/>
        <v>1.5015693031661826E-11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5</v>
      </c>
      <c r="AI112" s="14">
        <f>IF('Données projet'!$A$62&gt;35,AI111+AH112-AQ111,IF(A112&lt;'Données projet'!$A$62,$AF$205^A112,IF(A112='Données projet'!$A$62,'Données projet'!$B$62,AI111+AH112-AQ111)))</f>
        <v>326.99999999999989</v>
      </c>
      <c r="AJ112" s="14">
        <f>AI112*VLOOKUP('Données projet'!$B$10,Paramètres!$A$1:$I$89,3,0)*VLOOKUP('Données projet'!$B$10,Paramètres!$A$1:$I$89,5,0)</f>
        <v>311.17319999999989</v>
      </c>
      <c r="AK112" s="14">
        <f t="shared" si="89"/>
        <v>73.513787136470953</v>
      </c>
      <c r="AL112" s="22">
        <f t="shared" si="58"/>
        <v>669.99650259602015</v>
      </c>
      <c r="AM112" s="62">
        <f t="shared" si="59"/>
        <v>963.32983592935352</v>
      </c>
      <c r="AN112" s="62">
        <f ca="1">AVERAGE(OFFSET($AM$3,0,0,'Données projet'!$E$10+1,1))-AVERAGE(OFFSET($H$3,0,0,'Données projet'!$E$10+1,1))</f>
        <v>449.16408464351673</v>
      </c>
      <c r="AO112" s="62">
        <f t="shared" si="90"/>
        <v>290.39826583283588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1.5792366809161585E-11</v>
      </c>
      <c r="AX112" s="23">
        <f t="shared" si="60"/>
        <v>1.5792366809161585E-11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5</v>
      </c>
      <c r="BD112" s="13">
        <f>IF('Données projet'!$A$88&gt;35,BD111+BC112-BL111,IF(A112&lt;'Données projet'!$A$88,$BA$205^A112,IF(A112='Données projet'!$A$88,'Données projet'!$B$88,BD111+BC112-BL111)))</f>
        <v>326.99999999999989</v>
      </c>
      <c r="BE112" s="14">
        <f>BD112*VLOOKUP('Données projet'!$B$11,Paramètres!$A$1:$I$89,3,0)*VLOOKUP('Données projet'!$B$11,Paramètres!$A$1:$I$89,5,0)</f>
        <v>316.2743999999999</v>
      </c>
      <c r="BF112" s="14">
        <f t="shared" si="91"/>
        <v>74.577642578935567</v>
      </c>
      <c r="BG112" s="22">
        <f t="shared" si="61"/>
        <v>680.73397415831266</v>
      </c>
      <c r="BH112" s="62">
        <f t="shared" si="62"/>
        <v>974.06730749164603</v>
      </c>
      <c r="BI112" s="62">
        <f ca="1">AVERAGE(OFFSET($BH$3,0,0,'Données projet'!$E$11+1,1))-AVERAGE(OFFSET($H$3,0,0,'Données projet'!$E$11+1,1))</f>
        <v>455.85294519779609</v>
      </c>
      <c r="BJ112" s="62">
        <f t="shared" si="92"/>
        <v>294.45557293177131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1.6051258068328164E-11</v>
      </c>
      <c r="BS112" s="24">
        <f t="shared" si="63"/>
        <v>1.6051258068328164E-11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5.6843418860808015E-14</v>
      </c>
      <c r="BZ112" s="14">
        <f>BY112*VLOOKUP('Données projet'!$B$12,Paramètres!$A$1:$I$89,3,0)*VLOOKUP('Données projet'!$B$12,Paramètres!$A$1:$I$89,5,0)</f>
        <v>4.9658410716801891E-14</v>
      </c>
      <c r="CA112" s="14">
        <f t="shared" si="93"/>
        <v>8.0934058173791862E-13</v>
      </c>
      <c r="CB112" s="22">
        <f t="shared" si="64"/>
        <v>1.4960899118586383E-12</v>
      </c>
      <c r="CC112" s="62">
        <f t="shared" si="65"/>
        <v>293.33333333333479</v>
      </c>
      <c r="CD112" s="62">
        <f ca="1">AVERAGE(OFFSET($CC$3,0,0,'Données projet'!$E$12+1,1))-AVERAGE(OFFSET($H$3,0,0,'Données projet'!$E$12+1,1))</f>
        <v>304.32767345253382</v>
      </c>
      <c r="CE112" s="62">
        <f t="shared" si="94"/>
        <v>427.16091343339173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-5.6843418860808015E-14</v>
      </c>
      <c r="CU112" s="18">
        <f>CT112*VLOOKUP('Données projet'!$B$13,Paramètres!$A$1:$I$89,3,0)*VLOOKUP('Données projet'!$B$13,Paramètres!$A$1:$I$89,5,0)</f>
        <v>-5.1431925385259088E-14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350.06545824795847</v>
      </c>
      <c r="CZ112" s="62">
        <f t="shared" si="96"/>
        <v>513.80016421153414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5</v>
      </c>
      <c r="DO112" s="13">
        <f>IF('Données projet'!$A$166&gt;35,DO111+DN112-DW111,IF(A112&lt;'Données projet'!$A$166,$DL$205^A112,IF(A112='Données projet'!$A$166,'Données projet'!$B$166,DO111+DN112-DW111)))</f>
        <v>326.99999999999989</v>
      </c>
      <c r="DP112" s="18">
        <f>DO112*VLOOKUP('Données projet'!$B$14,Paramètres!$A$1:$I$89,3,0)*VLOOKUP('Données projet'!$B$14,Paramètres!$A$1:$I$89,5,0)</f>
        <v>260.16119999999995</v>
      </c>
      <c r="DQ112" s="14">
        <f t="shared" si="97"/>
        <v>62.756738042315064</v>
      </c>
      <c r="DR112" s="22">
        <f t="shared" si="70"/>
        <v>562.41540875703197</v>
      </c>
      <c r="DS112" s="62">
        <f t="shared" si="71"/>
        <v>855.74874209036534</v>
      </c>
      <c r="DT112" s="62">
        <f ca="1">AVERAGE(OFFSET($DS$3,0,0,'Données projet'!$E$14+1,1))-AVERAGE(OFFSET($H$3,0,0,'Données projet'!$E$14+1,1))</f>
        <v>382.14353215900121</v>
      </c>
      <c r="DU112" s="62">
        <f t="shared" si="98"/>
        <v>249.73945975250177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1.3203454217495754E-11</v>
      </c>
      <c r="ED112" s="24">
        <f t="shared" si="72"/>
        <v>1.3203454217495754E-11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332</v>
      </c>
      <c r="L113" s="13">
        <f>VLOOKUP(A113,'Données projet'!$A$35:$I$55,9,0)</f>
        <v>5</v>
      </c>
      <c r="M113" s="13">
        <f t="array" ref="M113">INDEX(L:L,MIN(IF(ISNUMBER(L113:L309),ROW(L113:L309),"")))</f>
        <v>5</v>
      </c>
      <c r="N113" s="14">
        <f>IF('Données projet'!$A$36&gt;35,N112+M113-V112,IF(A113&lt;'Données projet'!$A$36,$K$205^A113,IF(A113='Données projet'!$A$36,'Données projet'!$B$36,N112+M113-V112)))</f>
        <v>331.99999999999989</v>
      </c>
      <c r="O113" s="14">
        <f>N113*VLOOKUP('Données projet'!$B$9,Paramètres!$A$1:$I$89,3,0)*VLOOKUP('Données projet'!$B$9,Paramètres!$A$1:$I$89,5,0)</f>
        <v>300.39359999999988</v>
      </c>
      <c r="P113" s="14">
        <f t="shared" si="87"/>
        <v>71.258970856492667</v>
      </c>
      <c r="Q113" s="22">
        <f t="shared" si="107"/>
        <v>647.29489424172459</v>
      </c>
      <c r="R113" s="62">
        <f t="shared" si="55"/>
        <v>940.62822757505796</v>
      </c>
      <c r="S113" s="62">
        <f ca="1">AVERAGE(OFFSET($R$3,0,0,'Données projet'!$E$9+1,1))-AVERAGE(OFFSET($H$3,0,0,'Données projet'!$E$9+1,1))</f>
        <v>429.08375622925655</v>
      </c>
      <c r="T113" s="62">
        <f t="shared" si="88"/>
        <v>278.21741231699929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332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1.0617698366903666E-11</v>
      </c>
      <c r="AC113" s="24">
        <f t="shared" si="57"/>
        <v>1.0617698366903666E-11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332</v>
      </c>
      <c r="AG113" s="13">
        <f>VLOOKUP(A113,'Données projet'!$A$61:$I$81,9,0)</f>
        <v>5</v>
      </c>
      <c r="AH113" s="13">
        <f t="array" ref="AH113">INDEX(AG:AG,MIN(IF(ISNUMBER(AG113:AG309),ROW(AG113:AG309),"")))</f>
        <v>5</v>
      </c>
      <c r="AI113" s="14">
        <f>IF('Données projet'!$A$62&gt;35,AI112+AH113-AQ112,IF(A113&lt;'Données projet'!$A$62,$AF$205^A113,IF(A113='Données projet'!$A$62,'Données projet'!$B$62,AI112+AH113-AQ112)))</f>
        <v>331.99999999999989</v>
      </c>
      <c r="AJ113" s="14">
        <f>AI113*VLOOKUP('Données projet'!$B$10,Paramètres!$A$1:$I$89,3,0)*VLOOKUP('Données projet'!$B$10,Paramètres!$A$1:$I$89,5,0)</f>
        <v>315.93119999999988</v>
      </c>
      <c r="AK113" s="14">
        <f t="shared" si="89"/>
        <v>74.506131219363056</v>
      </c>
      <c r="AL113" s="22">
        <f t="shared" si="58"/>
        <v>680.01168520705698</v>
      </c>
      <c r="AM113" s="62">
        <f t="shared" si="59"/>
        <v>973.34501854039036</v>
      </c>
      <c r="AN113" s="62">
        <f ca="1">AVERAGE(OFFSET($AM$3,0,0,'Données projet'!$E$10+1,1))-AVERAGE(OFFSET($H$3,0,0,'Données projet'!$E$10+1,1))</f>
        <v>449.16408464351673</v>
      </c>
      <c r="AO113" s="62">
        <f t="shared" si="90"/>
        <v>290.39826583283588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332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1.1166889661743517E-11</v>
      </c>
      <c r="AX113" s="23">
        <f t="shared" si="60"/>
        <v>1.1166889661743517E-11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332</v>
      </c>
      <c r="BB113" s="13">
        <f>VLOOKUP(A113,'Données projet'!$A$87:$I$107,9,0)</f>
        <v>5</v>
      </c>
      <c r="BC113" s="13">
        <f t="array" ref="BC113">INDEX(BB:BB,MIN(IF(ISNUMBER(BB113:BB309),ROW(BB113:BB309),"")))</f>
        <v>5</v>
      </c>
      <c r="BD113" s="13">
        <f>IF('Données projet'!$A$88&gt;35,BD112+BC113-BL112,IF(A113&lt;'Données projet'!$A$88,$BA$205^A113,IF(A113='Données projet'!$A$88,'Données projet'!$B$88,BD112+BC113-BL112)))</f>
        <v>331.99999999999989</v>
      </c>
      <c r="BE113" s="14">
        <f>BD113*VLOOKUP('Données projet'!$B$11,Paramètres!$A$1:$I$89,3,0)*VLOOKUP('Données projet'!$B$11,Paramètres!$A$1:$I$89,5,0)</f>
        <v>321.11039999999986</v>
      </c>
      <c r="BF113" s="14">
        <f t="shared" si="91"/>
        <v>75.584347378293316</v>
      </c>
      <c r="BG113" s="22">
        <f t="shared" si="61"/>
        <v>690.91001835052737</v>
      </c>
      <c r="BH113" s="62">
        <f t="shared" si="62"/>
        <v>984.24335168386074</v>
      </c>
      <c r="BI113" s="62">
        <f ca="1">AVERAGE(OFFSET($BH$3,0,0,'Données projet'!$E$11+1,1))-AVERAGE(OFFSET($H$3,0,0,'Données projet'!$E$11+1,1))</f>
        <v>455.85294519779609</v>
      </c>
      <c r="BJ113" s="62">
        <f t="shared" si="92"/>
        <v>294.45557293177131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332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1.1349953426690128E-11</v>
      </c>
      <c r="BS113" s="24">
        <f t="shared" si="63"/>
        <v>1.1349953426690128E-11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5.6843418860808015E-14</v>
      </c>
      <c r="BZ113" s="14">
        <f>BY113*VLOOKUP('Données projet'!$B$12,Paramètres!$A$1:$I$89,3,0)*VLOOKUP('Données projet'!$B$12,Paramètres!$A$1:$I$89,5,0)</f>
        <v>4.9658410716801891E-14</v>
      </c>
      <c r="CA113" s="14">
        <f t="shared" si="93"/>
        <v>8.0934058173791862E-13</v>
      </c>
      <c r="CB113" s="22">
        <f t="shared" si="64"/>
        <v>1.4960899118586383E-12</v>
      </c>
      <c r="CC113" s="62">
        <f t="shared" si="65"/>
        <v>293.33333333333479</v>
      </c>
      <c r="CD113" s="62">
        <f ca="1">AVERAGE(OFFSET($CC$3,0,0,'Données projet'!$E$12+1,1))-AVERAGE(OFFSET($H$3,0,0,'Données projet'!$E$12+1,1))</f>
        <v>304.32767345253382</v>
      </c>
      <c r="CE113" s="62">
        <f t="shared" si="94"/>
        <v>427.16091343339173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-5.6843418860808015E-14</v>
      </c>
      <c r="CU113" s="18">
        <f>CT113*VLOOKUP('Données projet'!$B$13,Paramètres!$A$1:$I$89,3,0)*VLOOKUP('Données projet'!$B$13,Paramètres!$A$1:$I$89,5,0)</f>
        <v>-5.1431925385259088E-14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350.06545824795847</v>
      </c>
      <c r="CZ113" s="62">
        <f t="shared" si="96"/>
        <v>513.80016421153414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332</v>
      </c>
      <c r="DM113" s="13">
        <f>VLOOKUP(A113,'Données projet'!$A$165:$I$185,9,0)</f>
        <v>5</v>
      </c>
      <c r="DN113" s="13">
        <f t="array" ref="DN113">INDEX(DM:DM,MIN(IF(ISNUMBER(DM113:DM309),ROW(DM113:DM309),"")))</f>
        <v>5</v>
      </c>
      <c r="DO113" s="13">
        <f>IF('Données projet'!$A$166&gt;35,DO112+DN113-DW112,IF(A113&lt;'Données projet'!$A$166,$DL$205^A113,IF(A113='Données projet'!$A$166,'Données projet'!$B$166,DO112+DN113-DW112)))</f>
        <v>331.99999999999989</v>
      </c>
      <c r="DP113" s="18">
        <f>DO113*VLOOKUP('Données projet'!$B$14,Paramètres!$A$1:$I$89,3,0)*VLOOKUP('Données projet'!$B$14,Paramètres!$A$1:$I$89,5,0)</f>
        <v>264.1391999999999</v>
      </c>
      <c r="DQ113" s="14">
        <f t="shared" si="97"/>
        <v>63.60387543087441</v>
      </c>
      <c r="DR113" s="22">
        <f t="shared" si="70"/>
        <v>570.8191897087728</v>
      </c>
      <c r="DS113" s="62">
        <f t="shared" si="71"/>
        <v>864.15252304210617</v>
      </c>
      <c r="DT113" s="62">
        <f ca="1">AVERAGE(OFFSET($DS$3,0,0,'Données projet'!$E$14+1,1))-AVERAGE(OFFSET($H$3,0,0,'Données projet'!$E$14+1,1))</f>
        <v>382.14353215900121</v>
      </c>
      <c r="DU113" s="62">
        <f t="shared" si="98"/>
        <v>249.73945975250177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332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9.3362520122773683E-12</v>
      </c>
      <c r="ED113" s="24">
        <f t="shared" si="72"/>
        <v>9.3362520122773683E-12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-1.1368683772161603E-13</v>
      </c>
      <c r="O114" s="14">
        <f>N114*VLOOKUP('Données projet'!$B$9,Paramètres!$A$1:$I$89,3,0)*VLOOKUP('Données projet'!$B$9,Paramètres!$A$1:$I$89,5,0)</f>
        <v>-1.0286385077051818E-13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429.08375622925655</v>
      </c>
      <c r="T114" s="62">
        <f t="shared" si="88"/>
        <v>278.21741231699929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7.5078465158309131E-12</v>
      </c>
      <c r="AC114" s="24">
        <f t="shared" si="57"/>
        <v>7.5078465158309131E-12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-1.1368683772161603E-13</v>
      </c>
      <c r="AJ114" s="14">
        <f>AI114*VLOOKUP('Données projet'!$B$10,Paramètres!$A$1:$I$89,3,0)*VLOOKUP('Données projet'!$B$10,Paramètres!$A$1:$I$89,5,0)</f>
        <v>-1.0818439477588981E-13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449.16408464351673</v>
      </c>
      <c r="AO114" s="62">
        <f t="shared" si="90"/>
        <v>290.39826583283588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7.8961834045807925E-12</v>
      </c>
      <c r="AX114" s="23">
        <f t="shared" si="60"/>
        <v>7.8961834045807925E-12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-1.1368683772161603E-13</v>
      </c>
      <c r="BE114" s="14">
        <f>BD114*VLOOKUP('Données projet'!$B$11,Paramètres!$A$1:$I$89,3,0)*VLOOKUP('Données projet'!$B$11,Paramètres!$A$1:$I$89,5,0)</f>
        <v>-1.0995790944434703E-13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455.85294519779609</v>
      </c>
      <c r="BJ114" s="62">
        <f t="shared" si="92"/>
        <v>294.45557293177131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8.0256290341640818E-12</v>
      </c>
      <c r="BS114" s="24">
        <f t="shared" si="63"/>
        <v>8.0256290341640818E-12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5.6843418860808015E-14</v>
      </c>
      <c r="BZ114" s="14">
        <f>BY114*VLOOKUP('Données projet'!$B$12,Paramètres!$A$1:$I$89,3,0)*VLOOKUP('Données projet'!$B$12,Paramètres!$A$1:$I$89,5,0)</f>
        <v>4.9658410716801891E-14</v>
      </c>
      <c r="CA114" s="14">
        <f t="shared" si="93"/>
        <v>8.0934058173791862E-13</v>
      </c>
      <c r="CB114" s="22">
        <f t="shared" si="64"/>
        <v>1.4960899118586383E-12</v>
      </c>
      <c r="CC114" s="62">
        <f t="shared" si="65"/>
        <v>293.33333333333479</v>
      </c>
      <c r="CD114" s="62">
        <f ca="1">AVERAGE(OFFSET($CC$3,0,0,'Données projet'!$E$12+1,1))-AVERAGE(OFFSET($H$3,0,0,'Données projet'!$E$12+1,1))</f>
        <v>304.32767345253382</v>
      </c>
      <c r="CE114" s="62">
        <f t="shared" si="94"/>
        <v>427.16091343339173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-5.6843418860808015E-14</v>
      </c>
      <c r="CU114" s="18">
        <f>CT114*VLOOKUP('Données projet'!$B$13,Paramètres!$A$1:$I$89,3,0)*VLOOKUP('Données projet'!$B$13,Paramètres!$A$1:$I$89,5,0)</f>
        <v>-5.1431925385259088E-14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350.06545824795847</v>
      </c>
      <c r="CZ114" s="62">
        <f t="shared" si="96"/>
        <v>513.80016421153414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-1.1368683772161603E-13</v>
      </c>
      <c r="DP114" s="18">
        <f>DO114*VLOOKUP('Données projet'!$B$14,Paramètres!$A$1:$I$89,3,0)*VLOOKUP('Données projet'!$B$14,Paramètres!$A$1:$I$89,5,0)</f>
        <v>-9.0449248091317723E-14</v>
      </c>
      <c r="DQ114" s="14" t="e">
        <f t="shared" si="97"/>
        <v>#NUM!</v>
      </c>
      <c r="DR114" s="22" t="e">
        <f t="shared" si="70"/>
        <v>#NUM!</v>
      </c>
      <c r="DS114" s="62" t="e">
        <f t="shared" si="71"/>
        <v>#NUM!</v>
      </c>
      <c r="DT114" s="62">
        <f ca="1">AVERAGE(OFFSET($DS$3,0,0,'Données projet'!$E$14+1,1))-AVERAGE(OFFSET($H$3,0,0,'Données projet'!$E$14+1,1))</f>
        <v>382.14353215900121</v>
      </c>
      <c r="DU114" s="62">
        <f t="shared" si="98"/>
        <v>249.73945975250177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6.6017271087478772E-12</v>
      </c>
      <c r="ED114" s="24">
        <f t="shared" si="72"/>
        <v>6.6017271087478772E-12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-1.1368683772161603E-13</v>
      </c>
      <c r="O115" s="14">
        <f>N115*VLOOKUP('Données projet'!$B$9,Paramètres!$A$1:$I$89,3,0)*VLOOKUP('Données projet'!$B$9,Paramètres!$A$1:$I$89,5,0)</f>
        <v>-1.0286385077051818E-13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429.08375622925655</v>
      </c>
      <c r="T115" s="62">
        <f t="shared" si="88"/>
        <v>278.21741231699929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5.3088491834518329E-12</v>
      </c>
      <c r="AC115" s="24">
        <f t="shared" si="57"/>
        <v>5.3088491834518329E-12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-1.1368683772161603E-13</v>
      </c>
      <c r="AJ115" s="14">
        <f>AI115*VLOOKUP('Données projet'!$B$10,Paramètres!$A$1:$I$89,3,0)*VLOOKUP('Données projet'!$B$10,Paramètres!$A$1:$I$89,5,0)</f>
        <v>-1.0818439477588981E-13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449.16408464351673</v>
      </c>
      <c r="AO115" s="62">
        <f t="shared" si="90"/>
        <v>290.39826583283588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5.5834448308717584E-12</v>
      </c>
      <c r="AX115" s="23">
        <f t="shared" si="60"/>
        <v>5.5834448308717584E-12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-1.1368683772161603E-13</v>
      </c>
      <c r="BE115" s="14">
        <f>BD115*VLOOKUP('Données projet'!$B$11,Paramètres!$A$1:$I$89,3,0)*VLOOKUP('Données projet'!$B$11,Paramètres!$A$1:$I$89,5,0)</f>
        <v>-1.0995790944434703E-13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455.85294519779609</v>
      </c>
      <c r="BJ115" s="62">
        <f t="shared" si="92"/>
        <v>294.45557293177131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5.6749767133450642E-12</v>
      </c>
      <c r="BS115" s="24">
        <f t="shared" si="63"/>
        <v>5.6749767133450642E-12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5.6843418860808015E-14</v>
      </c>
      <c r="BZ115" s="14">
        <f>BY115*VLOOKUP('Données projet'!$B$12,Paramètres!$A$1:$I$89,3,0)*VLOOKUP('Données projet'!$B$12,Paramètres!$A$1:$I$89,5,0)</f>
        <v>4.9658410716801891E-14</v>
      </c>
      <c r="CA115" s="14">
        <f t="shared" si="93"/>
        <v>8.0934058173791862E-13</v>
      </c>
      <c r="CB115" s="22">
        <f t="shared" si="64"/>
        <v>1.4960899118586383E-12</v>
      </c>
      <c r="CC115" s="62">
        <f t="shared" si="65"/>
        <v>293.33333333333479</v>
      </c>
      <c r="CD115" s="62">
        <f ca="1">AVERAGE(OFFSET($CC$3,0,0,'Données projet'!$E$12+1,1))-AVERAGE(OFFSET($H$3,0,0,'Données projet'!$E$12+1,1))</f>
        <v>304.32767345253382</v>
      </c>
      <c r="CE115" s="62">
        <f t="shared" si="94"/>
        <v>427.16091343339173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-5.6843418860808015E-14</v>
      </c>
      <c r="CU115" s="18">
        <f>CT115*VLOOKUP('Données projet'!$B$13,Paramètres!$A$1:$I$89,3,0)*VLOOKUP('Données projet'!$B$13,Paramètres!$A$1:$I$89,5,0)</f>
        <v>-5.1431925385259088E-14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350.06545824795847</v>
      </c>
      <c r="CZ115" s="62">
        <f t="shared" si="96"/>
        <v>513.80016421153414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-1.1368683772161603E-13</v>
      </c>
      <c r="DP115" s="18">
        <f>DO115*VLOOKUP('Données projet'!$B$14,Paramètres!$A$1:$I$89,3,0)*VLOOKUP('Données projet'!$B$14,Paramètres!$A$1:$I$89,5,0)</f>
        <v>-9.0449248091317723E-14</v>
      </c>
      <c r="DQ115" s="14" t="e">
        <f t="shared" si="97"/>
        <v>#NUM!</v>
      </c>
      <c r="DR115" s="22" t="e">
        <f t="shared" si="70"/>
        <v>#NUM!</v>
      </c>
      <c r="DS115" s="62" t="e">
        <f t="shared" si="71"/>
        <v>#NUM!</v>
      </c>
      <c r="DT115" s="62">
        <f ca="1">AVERAGE(OFFSET($DS$3,0,0,'Données projet'!$E$14+1,1))-AVERAGE(OFFSET($H$3,0,0,'Données projet'!$E$14+1,1))</f>
        <v>382.14353215900121</v>
      </c>
      <c r="DU115" s="62">
        <f t="shared" si="98"/>
        <v>249.73945975250177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4.6681260061386842E-12</v>
      </c>
      <c r="ED115" s="24">
        <f t="shared" si="72"/>
        <v>4.6681260061386842E-12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-1.1368683772161603E-13</v>
      </c>
      <c r="O116" s="14">
        <f>N116*VLOOKUP('Données projet'!$B$9,Paramètres!$A$1:$I$89,3,0)*VLOOKUP('Données projet'!$B$9,Paramètres!$A$1:$I$89,5,0)</f>
        <v>-1.0286385077051818E-13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429.08375622925655</v>
      </c>
      <c r="T116" s="62">
        <f t="shared" si="88"/>
        <v>278.21741231699929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3.7539232579154566E-12</v>
      </c>
      <c r="AC116" s="24">
        <f t="shared" si="57"/>
        <v>3.7539232579154566E-12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-1.1368683772161603E-13</v>
      </c>
      <c r="AJ116" s="14">
        <f>AI116*VLOOKUP('Données projet'!$B$10,Paramètres!$A$1:$I$89,3,0)*VLOOKUP('Données projet'!$B$10,Paramètres!$A$1:$I$89,5,0)</f>
        <v>-1.0818439477588981E-13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449.16408464351673</v>
      </c>
      <c r="AO116" s="62">
        <f t="shared" si="90"/>
        <v>290.39826583283588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3.9480917022903962E-12</v>
      </c>
      <c r="AX116" s="23">
        <f t="shared" si="60"/>
        <v>3.9480917022903962E-12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-1.1368683772161603E-13</v>
      </c>
      <c r="BE116" s="14">
        <f>BD116*VLOOKUP('Données projet'!$B$11,Paramètres!$A$1:$I$89,3,0)*VLOOKUP('Données projet'!$B$11,Paramètres!$A$1:$I$89,5,0)</f>
        <v>-1.0995790944434703E-13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455.85294519779609</v>
      </c>
      <c r="BJ116" s="62">
        <f t="shared" si="92"/>
        <v>294.45557293177131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4.0128145170820409E-12</v>
      </c>
      <c r="BS116" s="24">
        <f t="shared" si="63"/>
        <v>4.0128145170820409E-12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5.6843418860808015E-14</v>
      </c>
      <c r="BZ116" s="14">
        <f>BY116*VLOOKUP('Données projet'!$B$12,Paramètres!$A$1:$I$89,3,0)*VLOOKUP('Données projet'!$B$12,Paramètres!$A$1:$I$89,5,0)</f>
        <v>4.9658410716801891E-14</v>
      </c>
      <c r="CA116" s="14">
        <f t="shared" si="93"/>
        <v>8.0934058173791862E-13</v>
      </c>
      <c r="CB116" s="22">
        <f t="shared" si="64"/>
        <v>1.4960899118586383E-12</v>
      </c>
      <c r="CC116" s="62">
        <f t="shared" si="65"/>
        <v>293.33333333333479</v>
      </c>
      <c r="CD116" s="62">
        <f ca="1">AVERAGE(OFFSET($CC$3,0,0,'Données projet'!$E$12+1,1))-AVERAGE(OFFSET($H$3,0,0,'Données projet'!$E$12+1,1))</f>
        <v>304.32767345253382</v>
      </c>
      <c r="CE116" s="62">
        <f t="shared" si="94"/>
        <v>427.16091343339173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-5.6843418860808015E-14</v>
      </c>
      <c r="CU116" s="18">
        <f>CT116*VLOOKUP('Données projet'!$B$13,Paramètres!$A$1:$I$89,3,0)*VLOOKUP('Données projet'!$B$13,Paramètres!$A$1:$I$89,5,0)</f>
        <v>-5.1431925385259088E-14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350.06545824795847</v>
      </c>
      <c r="CZ116" s="62">
        <f t="shared" si="96"/>
        <v>513.80016421153414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-1.1368683772161603E-13</v>
      </c>
      <c r="DP116" s="18">
        <f>DO116*VLOOKUP('Données projet'!$B$14,Paramètres!$A$1:$I$89,3,0)*VLOOKUP('Données projet'!$B$14,Paramètres!$A$1:$I$89,5,0)</f>
        <v>-9.0449248091317723E-14</v>
      </c>
      <c r="DQ116" s="14" t="e">
        <f t="shared" si="97"/>
        <v>#NUM!</v>
      </c>
      <c r="DR116" s="22" t="e">
        <f t="shared" si="70"/>
        <v>#NUM!</v>
      </c>
      <c r="DS116" s="62" t="e">
        <f t="shared" si="71"/>
        <v>#NUM!</v>
      </c>
      <c r="DT116" s="62">
        <f ca="1">AVERAGE(OFFSET($DS$3,0,0,'Données projet'!$E$14+1,1))-AVERAGE(OFFSET($H$3,0,0,'Données projet'!$E$14+1,1))</f>
        <v>382.14353215900121</v>
      </c>
      <c r="DU116" s="62">
        <f t="shared" si="98"/>
        <v>249.73945975250177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3.3008635543739386E-12</v>
      </c>
      <c r="ED116" s="24">
        <f t="shared" si="72"/>
        <v>3.3008635543739386E-12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-1.1368683772161603E-13</v>
      </c>
      <c r="O117" s="14">
        <f>N117*VLOOKUP('Données projet'!$B$9,Paramètres!$A$1:$I$89,3,0)*VLOOKUP('Données projet'!$B$9,Paramètres!$A$1:$I$89,5,0)</f>
        <v>-1.0286385077051818E-13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429.08375622925655</v>
      </c>
      <c r="T117" s="62">
        <f t="shared" si="88"/>
        <v>278.21741231699929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2.6544245917259164E-12</v>
      </c>
      <c r="AC117" s="24">
        <f t="shared" si="57"/>
        <v>2.6544245917259164E-12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-1.1368683772161603E-13</v>
      </c>
      <c r="AJ117" s="14">
        <f>AI117*VLOOKUP('Données projet'!$B$10,Paramètres!$A$1:$I$89,3,0)*VLOOKUP('Données projet'!$B$10,Paramètres!$A$1:$I$89,5,0)</f>
        <v>-1.0818439477588981E-13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449.16408464351673</v>
      </c>
      <c r="AO117" s="62">
        <f t="shared" si="90"/>
        <v>290.39826583283588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2.7917224154358792E-12</v>
      </c>
      <c r="AX117" s="23">
        <f t="shared" si="60"/>
        <v>2.7917224154358792E-12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-1.1368683772161603E-13</v>
      </c>
      <c r="BE117" s="14">
        <f>BD117*VLOOKUP('Données projet'!$B$11,Paramètres!$A$1:$I$89,3,0)*VLOOKUP('Données projet'!$B$11,Paramètres!$A$1:$I$89,5,0)</f>
        <v>-1.0995790944434703E-13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455.85294519779609</v>
      </c>
      <c r="BJ117" s="62">
        <f t="shared" si="92"/>
        <v>294.45557293177131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2.8374883566725321E-12</v>
      </c>
      <c r="BS117" s="24">
        <f t="shared" si="63"/>
        <v>2.8374883566725321E-12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5.6843418860808015E-14</v>
      </c>
      <c r="BZ117" s="14">
        <f>BY117*VLOOKUP('Données projet'!$B$12,Paramètres!$A$1:$I$89,3,0)*VLOOKUP('Données projet'!$B$12,Paramètres!$A$1:$I$89,5,0)</f>
        <v>4.9658410716801891E-14</v>
      </c>
      <c r="CA117" s="14">
        <f t="shared" si="93"/>
        <v>8.0934058173791862E-13</v>
      </c>
      <c r="CB117" s="22">
        <f t="shared" si="64"/>
        <v>1.4960899118586383E-12</v>
      </c>
      <c r="CC117" s="62">
        <f t="shared" si="65"/>
        <v>293.33333333333479</v>
      </c>
      <c r="CD117" s="62">
        <f ca="1">AVERAGE(OFFSET($CC$3,0,0,'Données projet'!$E$12+1,1))-AVERAGE(OFFSET($H$3,0,0,'Données projet'!$E$12+1,1))</f>
        <v>304.32767345253382</v>
      </c>
      <c r="CE117" s="62">
        <f t="shared" si="94"/>
        <v>427.16091343339173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-5.6843418860808015E-14</v>
      </c>
      <c r="CU117" s="18">
        <f>CT117*VLOOKUP('Données projet'!$B$13,Paramètres!$A$1:$I$89,3,0)*VLOOKUP('Données projet'!$B$13,Paramètres!$A$1:$I$89,5,0)</f>
        <v>-5.1431925385259088E-14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350.06545824795847</v>
      </c>
      <c r="CZ117" s="62">
        <f t="shared" si="96"/>
        <v>513.80016421153414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-1.1368683772161603E-13</v>
      </c>
      <c r="DP117" s="18">
        <f>DO117*VLOOKUP('Données projet'!$B$14,Paramètres!$A$1:$I$89,3,0)*VLOOKUP('Données projet'!$B$14,Paramètres!$A$1:$I$89,5,0)</f>
        <v>-9.0449248091317723E-14</v>
      </c>
      <c r="DQ117" s="14" t="e">
        <f t="shared" si="97"/>
        <v>#NUM!</v>
      </c>
      <c r="DR117" s="22" t="e">
        <f t="shared" si="70"/>
        <v>#NUM!</v>
      </c>
      <c r="DS117" s="62" t="e">
        <f t="shared" si="71"/>
        <v>#NUM!</v>
      </c>
      <c r="DT117" s="62">
        <f ca="1">AVERAGE(OFFSET($DS$3,0,0,'Données projet'!$E$14+1,1))-AVERAGE(OFFSET($H$3,0,0,'Données projet'!$E$14+1,1))</f>
        <v>382.14353215900121</v>
      </c>
      <c r="DU117" s="62">
        <f t="shared" si="98"/>
        <v>249.73945975250177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2.3340630030693421E-12</v>
      </c>
      <c r="ED117" s="24">
        <f t="shared" si="72"/>
        <v>2.3340630030693421E-12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-1.1368683772161603E-13</v>
      </c>
      <c r="O118" s="14">
        <f>N118*VLOOKUP('Données projet'!$B$9,Paramètres!$A$1:$I$89,3,0)*VLOOKUP('Données projet'!$B$9,Paramètres!$A$1:$I$89,5,0)</f>
        <v>-1.0286385077051818E-13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429.08375622925655</v>
      </c>
      <c r="T118" s="62">
        <f t="shared" si="88"/>
        <v>278.21741231699929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1.8769616289577283E-12</v>
      </c>
      <c r="AC118" s="24">
        <f t="shared" si="57"/>
        <v>1.8769616289577283E-12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-1.1368683772161603E-13</v>
      </c>
      <c r="AJ118" s="14">
        <f>AI118*VLOOKUP('Données projet'!$B$10,Paramètres!$A$1:$I$89,3,0)*VLOOKUP('Données projet'!$B$10,Paramètres!$A$1:$I$89,5,0)</f>
        <v>-1.0818439477588981E-13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449.16408464351673</v>
      </c>
      <c r="AO118" s="62">
        <f t="shared" si="90"/>
        <v>290.39826583283588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1.9740458511451981E-12</v>
      </c>
      <c r="AX118" s="23">
        <f t="shared" si="60"/>
        <v>1.9740458511451981E-12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-1.1368683772161603E-13</v>
      </c>
      <c r="BE118" s="14">
        <f>BD118*VLOOKUP('Données projet'!$B$11,Paramètres!$A$1:$I$89,3,0)*VLOOKUP('Données projet'!$B$11,Paramètres!$A$1:$I$89,5,0)</f>
        <v>-1.0995790944434703E-13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455.85294519779609</v>
      </c>
      <c r="BJ118" s="62">
        <f t="shared" si="92"/>
        <v>294.45557293177131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2.0064072585410205E-12</v>
      </c>
      <c r="BS118" s="24">
        <f t="shared" si="63"/>
        <v>2.0064072585410205E-12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5.6843418860808015E-14</v>
      </c>
      <c r="BZ118" s="14">
        <f>BY118*VLOOKUP('Données projet'!$B$12,Paramètres!$A$1:$I$89,3,0)*VLOOKUP('Données projet'!$B$12,Paramètres!$A$1:$I$89,5,0)</f>
        <v>4.9658410716801891E-14</v>
      </c>
      <c r="CA118" s="14">
        <f t="shared" si="93"/>
        <v>8.0934058173791862E-13</v>
      </c>
      <c r="CB118" s="22">
        <f t="shared" si="64"/>
        <v>1.4960899118586383E-12</v>
      </c>
      <c r="CC118" s="62">
        <f t="shared" si="65"/>
        <v>293.33333333333479</v>
      </c>
      <c r="CD118" s="62">
        <f ca="1">AVERAGE(OFFSET($CC$3,0,0,'Données projet'!$E$12+1,1))-AVERAGE(OFFSET($H$3,0,0,'Données projet'!$E$12+1,1))</f>
        <v>304.32767345253382</v>
      </c>
      <c r="CE118" s="62">
        <f t="shared" si="94"/>
        <v>427.16091343339173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-5.6843418860808015E-14</v>
      </c>
      <c r="CU118" s="18">
        <f>CT118*VLOOKUP('Données projet'!$B$13,Paramètres!$A$1:$I$89,3,0)*VLOOKUP('Données projet'!$B$13,Paramètres!$A$1:$I$89,5,0)</f>
        <v>-5.1431925385259088E-14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350.06545824795847</v>
      </c>
      <c r="CZ118" s="62">
        <f t="shared" si="96"/>
        <v>513.80016421153414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-1.1368683772161603E-13</v>
      </c>
      <c r="DP118" s="18">
        <f>DO118*VLOOKUP('Données projet'!$B$14,Paramètres!$A$1:$I$89,3,0)*VLOOKUP('Données projet'!$B$14,Paramètres!$A$1:$I$89,5,0)</f>
        <v>-9.0449248091317723E-14</v>
      </c>
      <c r="DQ118" s="14" t="e">
        <f t="shared" si="97"/>
        <v>#NUM!</v>
      </c>
      <c r="DR118" s="22" t="e">
        <f t="shared" si="70"/>
        <v>#NUM!</v>
      </c>
      <c r="DS118" s="62" t="e">
        <f t="shared" si="71"/>
        <v>#NUM!</v>
      </c>
      <c r="DT118" s="62">
        <f ca="1">AVERAGE(OFFSET($DS$3,0,0,'Données projet'!$E$14+1,1))-AVERAGE(OFFSET($H$3,0,0,'Données projet'!$E$14+1,1))</f>
        <v>382.14353215900121</v>
      </c>
      <c r="DU118" s="62">
        <f t="shared" si="98"/>
        <v>249.73945975250177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1.6504317771869693E-12</v>
      </c>
      <c r="ED118" s="24">
        <f t="shared" si="72"/>
        <v>1.6504317771869693E-12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-1.1368683772161603E-13</v>
      </c>
      <c r="O119" s="14">
        <f>N119*VLOOKUP('Données projet'!$B$9,Paramètres!$A$1:$I$89,3,0)*VLOOKUP('Données projet'!$B$9,Paramètres!$A$1:$I$89,5,0)</f>
        <v>-1.0286385077051818E-13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429.08375622925655</v>
      </c>
      <c r="T119" s="62">
        <f t="shared" si="88"/>
        <v>278.21741231699929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1.3272122958629582E-12</v>
      </c>
      <c r="AC119" s="24">
        <f t="shared" si="57"/>
        <v>1.3272122958629582E-12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-1.1368683772161603E-13</v>
      </c>
      <c r="AJ119" s="14">
        <f>AI119*VLOOKUP('Données projet'!$B$10,Paramètres!$A$1:$I$89,3,0)*VLOOKUP('Données projet'!$B$10,Paramètres!$A$1:$I$89,5,0)</f>
        <v>-1.0818439477588981E-13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449.16408464351673</v>
      </c>
      <c r="AO119" s="62">
        <f t="shared" si="90"/>
        <v>290.39826583283588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1.3958612077179396E-12</v>
      </c>
      <c r="AX119" s="23">
        <f t="shared" si="60"/>
        <v>1.3958612077179396E-12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-1.1368683772161603E-13</v>
      </c>
      <c r="BE119" s="14">
        <f>BD119*VLOOKUP('Données projet'!$B$11,Paramètres!$A$1:$I$89,3,0)*VLOOKUP('Données projet'!$B$11,Paramètres!$A$1:$I$89,5,0)</f>
        <v>-1.0995790944434703E-13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455.85294519779609</v>
      </c>
      <c r="BJ119" s="62">
        <f t="shared" si="92"/>
        <v>294.45557293177131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1.418744178336266E-12</v>
      </c>
      <c r="BS119" s="24">
        <f t="shared" si="63"/>
        <v>1.418744178336266E-12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5.6843418860808015E-14</v>
      </c>
      <c r="BZ119" s="14">
        <f>BY119*VLOOKUP('Données projet'!$B$12,Paramètres!$A$1:$I$89,3,0)*VLOOKUP('Données projet'!$B$12,Paramètres!$A$1:$I$89,5,0)</f>
        <v>4.9658410716801891E-14</v>
      </c>
      <c r="CA119" s="14">
        <f t="shared" si="93"/>
        <v>8.0934058173791862E-13</v>
      </c>
      <c r="CB119" s="22">
        <f t="shared" si="64"/>
        <v>1.4960899118586383E-12</v>
      </c>
      <c r="CC119" s="62">
        <f t="shared" si="65"/>
        <v>293.33333333333479</v>
      </c>
      <c r="CD119" s="62">
        <f ca="1">AVERAGE(OFFSET($CC$3,0,0,'Données projet'!$E$12+1,1))-AVERAGE(OFFSET($H$3,0,0,'Données projet'!$E$12+1,1))</f>
        <v>304.32767345253382</v>
      </c>
      <c r="CE119" s="62">
        <f t="shared" si="94"/>
        <v>427.16091343339173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-5.6843418860808015E-14</v>
      </c>
      <c r="CU119" s="18">
        <f>CT119*VLOOKUP('Données projet'!$B$13,Paramètres!$A$1:$I$89,3,0)*VLOOKUP('Données projet'!$B$13,Paramètres!$A$1:$I$89,5,0)</f>
        <v>-5.1431925385259088E-14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350.06545824795847</v>
      </c>
      <c r="CZ119" s="62">
        <f t="shared" si="96"/>
        <v>513.80016421153414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-1.1368683772161603E-13</v>
      </c>
      <c r="DP119" s="18">
        <f>DO119*VLOOKUP('Données projet'!$B$14,Paramètres!$A$1:$I$89,3,0)*VLOOKUP('Données projet'!$B$14,Paramètres!$A$1:$I$89,5,0)</f>
        <v>-9.0449248091317723E-14</v>
      </c>
      <c r="DQ119" s="14" t="e">
        <f t="shared" si="97"/>
        <v>#NUM!</v>
      </c>
      <c r="DR119" s="22" t="e">
        <f t="shared" si="70"/>
        <v>#NUM!</v>
      </c>
      <c r="DS119" s="62" t="e">
        <f t="shared" si="71"/>
        <v>#NUM!</v>
      </c>
      <c r="DT119" s="62">
        <f ca="1">AVERAGE(OFFSET($DS$3,0,0,'Données projet'!$E$14+1,1))-AVERAGE(OFFSET($H$3,0,0,'Données projet'!$E$14+1,1))</f>
        <v>382.14353215900121</v>
      </c>
      <c r="DU119" s="62">
        <f t="shared" si="98"/>
        <v>249.73945975250177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1.167031501534671E-12</v>
      </c>
      <c r="ED119" s="24">
        <f t="shared" si="72"/>
        <v>1.167031501534671E-12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-1.1368683772161603E-13</v>
      </c>
      <c r="O120" s="14">
        <f>N120*VLOOKUP('Données projet'!$B$9,Paramètres!$A$1:$I$89,3,0)*VLOOKUP('Données projet'!$B$9,Paramètres!$A$1:$I$89,5,0)</f>
        <v>-1.0286385077051818E-13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429.08375622925655</v>
      </c>
      <c r="T120" s="62">
        <f t="shared" si="88"/>
        <v>278.21741231699929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9.3848081447886414E-13</v>
      </c>
      <c r="AC120" s="24">
        <f t="shared" si="57"/>
        <v>9.3848081447886414E-13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-1.1368683772161603E-13</v>
      </c>
      <c r="AJ120" s="14">
        <f>AI120*VLOOKUP('Données projet'!$B$10,Paramètres!$A$1:$I$89,3,0)*VLOOKUP('Données projet'!$B$10,Paramètres!$A$1:$I$89,5,0)</f>
        <v>-1.0818439477588981E-13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449.16408464351673</v>
      </c>
      <c r="AO120" s="62">
        <f t="shared" si="90"/>
        <v>290.39826583283588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9.8702292557259906E-13</v>
      </c>
      <c r="AX120" s="23">
        <f t="shared" si="60"/>
        <v>9.8702292557259906E-13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-1.1368683772161603E-13</v>
      </c>
      <c r="BE120" s="14">
        <f>BD120*VLOOKUP('Données projet'!$B$11,Paramètres!$A$1:$I$89,3,0)*VLOOKUP('Données projet'!$B$11,Paramètres!$A$1:$I$89,5,0)</f>
        <v>-1.0995790944434703E-13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455.85294519779609</v>
      </c>
      <c r="BJ120" s="62">
        <f t="shared" si="92"/>
        <v>294.45557293177131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1.0032036292705102E-12</v>
      </c>
      <c r="BS120" s="24">
        <f t="shared" si="63"/>
        <v>1.0032036292705102E-12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5.6843418860808015E-14</v>
      </c>
      <c r="BZ120" s="14">
        <f>BY120*VLOOKUP('Données projet'!$B$12,Paramètres!$A$1:$I$89,3,0)*VLOOKUP('Données projet'!$B$12,Paramètres!$A$1:$I$89,5,0)</f>
        <v>4.9658410716801891E-14</v>
      </c>
      <c r="CA120" s="14">
        <f t="shared" si="93"/>
        <v>8.0934058173791862E-13</v>
      </c>
      <c r="CB120" s="22">
        <f t="shared" si="64"/>
        <v>1.4960899118586383E-12</v>
      </c>
      <c r="CC120" s="62">
        <f t="shared" si="65"/>
        <v>293.33333333333479</v>
      </c>
      <c r="CD120" s="62">
        <f ca="1">AVERAGE(OFFSET($CC$3,0,0,'Données projet'!$E$12+1,1))-AVERAGE(OFFSET($H$3,0,0,'Données projet'!$E$12+1,1))</f>
        <v>304.32767345253382</v>
      </c>
      <c r="CE120" s="62">
        <f t="shared" si="94"/>
        <v>427.16091343339173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-5.6843418860808015E-14</v>
      </c>
      <c r="CU120" s="18">
        <f>CT120*VLOOKUP('Données projet'!$B$13,Paramètres!$A$1:$I$89,3,0)*VLOOKUP('Données projet'!$B$13,Paramètres!$A$1:$I$89,5,0)</f>
        <v>-5.1431925385259088E-14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350.06545824795847</v>
      </c>
      <c r="CZ120" s="62">
        <f t="shared" si="96"/>
        <v>513.80016421153414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-1.1368683772161603E-13</v>
      </c>
      <c r="DP120" s="18">
        <f>DO120*VLOOKUP('Données projet'!$B$14,Paramètres!$A$1:$I$89,3,0)*VLOOKUP('Données projet'!$B$14,Paramètres!$A$1:$I$89,5,0)</f>
        <v>-9.0449248091317723E-14</v>
      </c>
      <c r="DQ120" s="14" t="e">
        <f t="shared" si="97"/>
        <v>#NUM!</v>
      </c>
      <c r="DR120" s="22" t="e">
        <f t="shared" si="70"/>
        <v>#NUM!</v>
      </c>
      <c r="DS120" s="62" t="e">
        <f t="shared" si="71"/>
        <v>#NUM!</v>
      </c>
      <c r="DT120" s="62">
        <f ca="1">AVERAGE(OFFSET($DS$3,0,0,'Données projet'!$E$14+1,1))-AVERAGE(OFFSET($H$3,0,0,'Données projet'!$E$14+1,1))</f>
        <v>382.14353215900121</v>
      </c>
      <c r="DU120" s="62">
        <f t="shared" si="98"/>
        <v>249.73945975250177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8.2521588859348465E-13</v>
      </c>
      <c r="ED120" s="24">
        <f t="shared" si="72"/>
        <v>8.2521588859348465E-13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-1.1368683772161603E-13</v>
      </c>
      <c r="O121" s="14">
        <f>N121*VLOOKUP('Données projet'!$B$9,Paramètres!$A$1:$I$89,3,0)*VLOOKUP('Données projet'!$B$9,Paramètres!$A$1:$I$89,5,0)</f>
        <v>-1.0286385077051818E-13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429.08375622925655</v>
      </c>
      <c r="T121" s="62">
        <f t="shared" si="88"/>
        <v>278.21741231699929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6.6360614793147911E-13</v>
      </c>
      <c r="AC121" s="24">
        <f t="shared" si="57"/>
        <v>6.6360614793147911E-13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-1.1368683772161603E-13</v>
      </c>
      <c r="AJ121" s="14">
        <f>AI121*VLOOKUP('Données projet'!$B$10,Paramètres!$A$1:$I$89,3,0)*VLOOKUP('Données projet'!$B$10,Paramètres!$A$1:$I$89,5,0)</f>
        <v>-1.0818439477588981E-13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449.16408464351673</v>
      </c>
      <c r="AO121" s="62">
        <f t="shared" si="90"/>
        <v>290.39826583283588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6.979306038589698E-13</v>
      </c>
      <c r="AX121" s="23">
        <f t="shared" si="60"/>
        <v>6.979306038589698E-13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-1.1368683772161603E-13</v>
      </c>
      <c r="BE121" s="14">
        <f>BD121*VLOOKUP('Données projet'!$B$11,Paramètres!$A$1:$I$89,3,0)*VLOOKUP('Données projet'!$B$11,Paramètres!$A$1:$I$89,5,0)</f>
        <v>-1.0995790944434703E-13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455.85294519779609</v>
      </c>
      <c r="BJ121" s="62">
        <f t="shared" si="92"/>
        <v>294.45557293177131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7.0937208916813302E-13</v>
      </c>
      <c r="BS121" s="24">
        <f t="shared" si="63"/>
        <v>7.0937208916813302E-13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5.6843418860808015E-14</v>
      </c>
      <c r="BZ121" s="14">
        <f>BY121*VLOOKUP('Données projet'!$B$12,Paramètres!$A$1:$I$89,3,0)*VLOOKUP('Données projet'!$B$12,Paramètres!$A$1:$I$89,5,0)</f>
        <v>4.9658410716801891E-14</v>
      </c>
      <c r="CA121" s="14">
        <f t="shared" si="93"/>
        <v>8.0934058173791862E-13</v>
      </c>
      <c r="CB121" s="22">
        <f t="shared" si="64"/>
        <v>1.4960899118586383E-12</v>
      </c>
      <c r="CC121" s="62">
        <f t="shared" si="65"/>
        <v>293.33333333333479</v>
      </c>
      <c r="CD121" s="62">
        <f ca="1">AVERAGE(OFFSET($CC$3,0,0,'Données projet'!$E$12+1,1))-AVERAGE(OFFSET($H$3,0,0,'Données projet'!$E$12+1,1))</f>
        <v>304.32767345253382</v>
      </c>
      <c r="CE121" s="62">
        <f t="shared" si="94"/>
        <v>427.16091343339173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-5.6843418860808015E-14</v>
      </c>
      <c r="CU121" s="18">
        <f>CT121*VLOOKUP('Données projet'!$B$13,Paramètres!$A$1:$I$89,3,0)*VLOOKUP('Données projet'!$B$13,Paramètres!$A$1:$I$89,5,0)</f>
        <v>-5.1431925385259088E-14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350.06545824795847</v>
      </c>
      <c r="CZ121" s="62">
        <f t="shared" si="96"/>
        <v>513.80016421153414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-1.1368683772161603E-13</v>
      </c>
      <c r="DP121" s="18">
        <f>DO121*VLOOKUP('Données projet'!$B$14,Paramètres!$A$1:$I$89,3,0)*VLOOKUP('Données projet'!$B$14,Paramètres!$A$1:$I$89,5,0)</f>
        <v>-9.0449248091317723E-14</v>
      </c>
      <c r="DQ121" s="14" t="e">
        <f t="shared" si="97"/>
        <v>#NUM!</v>
      </c>
      <c r="DR121" s="22" t="e">
        <f t="shared" si="70"/>
        <v>#NUM!</v>
      </c>
      <c r="DS121" s="62" t="e">
        <f t="shared" si="71"/>
        <v>#NUM!</v>
      </c>
      <c r="DT121" s="62">
        <f ca="1">AVERAGE(OFFSET($DS$3,0,0,'Données projet'!$E$14+1,1))-AVERAGE(OFFSET($H$3,0,0,'Données projet'!$E$14+1,1))</f>
        <v>382.14353215900121</v>
      </c>
      <c r="DU121" s="62">
        <f t="shared" si="98"/>
        <v>249.73945975250177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5.8351575076733552E-13</v>
      </c>
      <c r="ED121" s="24">
        <f t="shared" si="72"/>
        <v>5.8351575076733552E-13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-1.1368683772161603E-13</v>
      </c>
      <c r="O122" s="14">
        <f>N122*VLOOKUP('Données projet'!$B$9,Paramètres!$A$1:$I$89,3,0)*VLOOKUP('Données projet'!$B$9,Paramètres!$A$1:$I$89,5,0)</f>
        <v>-1.0286385077051818E-13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429.08375622925655</v>
      </c>
      <c r="T122" s="62">
        <f t="shared" si="88"/>
        <v>278.21741231699929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4.6924040723943207E-13</v>
      </c>
      <c r="AC122" s="24">
        <f t="shared" si="57"/>
        <v>4.6924040723943207E-13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-1.1368683772161603E-13</v>
      </c>
      <c r="AJ122" s="14">
        <f>AI122*VLOOKUP('Données projet'!$B$10,Paramètres!$A$1:$I$89,3,0)*VLOOKUP('Données projet'!$B$10,Paramètres!$A$1:$I$89,5,0)</f>
        <v>-1.0818439477588981E-13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449.16408464351673</v>
      </c>
      <c r="AO122" s="62">
        <f t="shared" si="90"/>
        <v>290.39826583283588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4.9351146278629953E-13</v>
      </c>
      <c r="AX122" s="23">
        <f t="shared" si="60"/>
        <v>4.9351146278629953E-13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-1.1368683772161603E-13</v>
      </c>
      <c r="BE122" s="14">
        <f>BD122*VLOOKUP('Données projet'!$B$11,Paramètres!$A$1:$I$89,3,0)*VLOOKUP('Données projet'!$B$11,Paramètres!$A$1:$I$89,5,0)</f>
        <v>-1.0995790944434703E-13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455.85294519779609</v>
      </c>
      <c r="BJ122" s="62">
        <f t="shared" si="92"/>
        <v>294.45557293177131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5.0160181463525511E-13</v>
      </c>
      <c r="BS122" s="24">
        <f t="shared" si="63"/>
        <v>5.0160181463525511E-13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5.6843418860808015E-14</v>
      </c>
      <c r="BZ122" s="14">
        <f>BY122*VLOOKUP('Données projet'!$B$12,Paramètres!$A$1:$I$89,3,0)*VLOOKUP('Données projet'!$B$12,Paramètres!$A$1:$I$89,5,0)</f>
        <v>4.9658410716801891E-14</v>
      </c>
      <c r="CA122" s="14">
        <f t="shared" si="93"/>
        <v>8.0934058173791862E-13</v>
      </c>
      <c r="CB122" s="22">
        <f t="shared" si="64"/>
        <v>1.4960899118586383E-12</v>
      </c>
      <c r="CC122" s="62">
        <f t="shared" si="65"/>
        <v>293.33333333333479</v>
      </c>
      <c r="CD122" s="62">
        <f ca="1">AVERAGE(OFFSET($CC$3,0,0,'Données projet'!$E$12+1,1))-AVERAGE(OFFSET($H$3,0,0,'Données projet'!$E$12+1,1))</f>
        <v>304.32767345253382</v>
      </c>
      <c r="CE122" s="62">
        <f t="shared" si="94"/>
        <v>427.16091343339173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-5.6843418860808015E-14</v>
      </c>
      <c r="CU122" s="18">
        <f>CT122*VLOOKUP('Données projet'!$B$13,Paramètres!$A$1:$I$89,3,0)*VLOOKUP('Données projet'!$B$13,Paramètres!$A$1:$I$89,5,0)</f>
        <v>-5.1431925385259088E-14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350.06545824795847</v>
      </c>
      <c r="CZ122" s="62">
        <f t="shared" si="96"/>
        <v>513.80016421153414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-1.1368683772161603E-13</v>
      </c>
      <c r="DP122" s="18">
        <f>DO122*VLOOKUP('Données projet'!$B$14,Paramètres!$A$1:$I$89,3,0)*VLOOKUP('Données projet'!$B$14,Paramètres!$A$1:$I$89,5,0)</f>
        <v>-9.0449248091317723E-14</v>
      </c>
      <c r="DQ122" s="14" t="e">
        <f t="shared" si="97"/>
        <v>#NUM!</v>
      </c>
      <c r="DR122" s="22" t="e">
        <f t="shared" si="70"/>
        <v>#NUM!</v>
      </c>
      <c r="DS122" s="62" t="e">
        <f t="shared" si="71"/>
        <v>#NUM!</v>
      </c>
      <c r="DT122" s="62">
        <f ca="1">AVERAGE(OFFSET($DS$3,0,0,'Données projet'!$E$14+1,1))-AVERAGE(OFFSET($H$3,0,0,'Données projet'!$E$14+1,1))</f>
        <v>382.14353215900121</v>
      </c>
      <c r="DU122" s="62">
        <f t="shared" si="98"/>
        <v>249.73945975250177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4.1260794429674232E-13</v>
      </c>
      <c r="ED122" s="24">
        <f t="shared" si="72"/>
        <v>4.1260794429674232E-13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-1.1368683772161603E-13</v>
      </c>
      <c r="O123" s="14">
        <f>N123*VLOOKUP('Données projet'!$B$9,Paramètres!$A$1:$I$89,3,0)*VLOOKUP('Données projet'!$B$9,Paramètres!$A$1:$I$89,5,0)</f>
        <v>-1.0286385077051818E-13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429.08375622925655</v>
      </c>
      <c r="T123" s="62">
        <f t="shared" si="88"/>
        <v>278.21741231699929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3.3180307396573956E-13</v>
      </c>
      <c r="AC123" s="24">
        <f t="shared" si="57"/>
        <v>3.3180307396573956E-13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-1.1368683772161603E-13</v>
      </c>
      <c r="AJ123" s="14">
        <f>AI123*VLOOKUP('Données projet'!$B$10,Paramètres!$A$1:$I$89,3,0)*VLOOKUP('Données projet'!$B$10,Paramètres!$A$1:$I$89,5,0)</f>
        <v>-1.0818439477588981E-13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449.16408464351673</v>
      </c>
      <c r="AO123" s="62">
        <f t="shared" si="90"/>
        <v>290.39826583283588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3.489653019294849E-13</v>
      </c>
      <c r="AX123" s="23">
        <f t="shared" si="60"/>
        <v>3.489653019294849E-13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-1.1368683772161603E-13</v>
      </c>
      <c r="BE123" s="14">
        <f>BD123*VLOOKUP('Données projet'!$B$11,Paramètres!$A$1:$I$89,3,0)*VLOOKUP('Données projet'!$B$11,Paramètres!$A$1:$I$89,5,0)</f>
        <v>-1.0995790944434703E-13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455.85294519779609</v>
      </c>
      <c r="BJ123" s="62">
        <f t="shared" si="92"/>
        <v>294.45557293177131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3.5468604458406651E-13</v>
      </c>
      <c r="BS123" s="24">
        <f t="shared" si="63"/>
        <v>3.5468604458406651E-13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5.6843418860808015E-14</v>
      </c>
      <c r="BZ123" s="14">
        <f>BY123*VLOOKUP('Données projet'!$B$12,Paramètres!$A$1:$I$89,3,0)*VLOOKUP('Données projet'!$B$12,Paramètres!$A$1:$I$89,5,0)</f>
        <v>4.9658410716801891E-14</v>
      </c>
      <c r="CA123" s="14">
        <f t="shared" si="93"/>
        <v>8.0934058173791862E-13</v>
      </c>
      <c r="CB123" s="22">
        <f t="shared" si="64"/>
        <v>1.4960899118586383E-12</v>
      </c>
      <c r="CC123" s="62">
        <f t="shared" si="65"/>
        <v>293.33333333333479</v>
      </c>
      <c r="CD123" s="62">
        <f ca="1">AVERAGE(OFFSET($CC$3,0,0,'Données projet'!$E$12+1,1))-AVERAGE(OFFSET($H$3,0,0,'Données projet'!$E$12+1,1))</f>
        <v>304.32767345253382</v>
      </c>
      <c r="CE123" s="62">
        <f t="shared" si="94"/>
        <v>427.16091343339173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-5.6843418860808015E-14</v>
      </c>
      <c r="CU123" s="18">
        <f>CT123*VLOOKUP('Données projet'!$B$13,Paramètres!$A$1:$I$89,3,0)*VLOOKUP('Données projet'!$B$13,Paramètres!$A$1:$I$89,5,0)</f>
        <v>-5.1431925385259088E-14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350.06545824795847</v>
      </c>
      <c r="CZ123" s="62">
        <f t="shared" si="96"/>
        <v>513.80016421153414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-1.1368683772161603E-13</v>
      </c>
      <c r="DP123" s="18">
        <f>DO123*VLOOKUP('Données projet'!$B$14,Paramètres!$A$1:$I$89,3,0)*VLOOKUP('Données projet'!$B$14,Paramètres!$A$1:$I$89,5,0)</f>
        <v>-9.0449248091317723E-14</v>
      </c>
      <c r="DQ123" s="14" t="e">
        <f t="shared" si="97"/>
        <v>#NUM!</v>
      </c>
      <c r="DR123" s="22" t="e">
        <f t="shared" si="70"/>
        <v>#NUM!</v>
      </c>
      <c r="DS123" s="62" t="e">
        <f t="shared" si="71"/>
        <v>#NUM!</v>
      </c>
      <c r="DT123" s="62">
        <f ca="1">AVERAGE(OFFSET($DS$3,0,0,'Données projet'!$E$14+1,1))-AVERAGE(OFFSET($H$3,0,0,'Données projet'!$E$14+1,1))</f>
        <v>382.14353215900121</v>
      </c>
      <c r="DU123" s="62">
        <f t="shared" si="98"/>
        <v>249.73945975250177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2.9175787538366776E-13</v>
      </c>
      <c r="ED123" s="24">
        <f t="shared" si="72"/>
        <v>2.9175787538366776E-13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-1.1368683772161603E-13</v>
      </c>
      <c r="O124" s="14">
        <f>N124*VLOOKUP('Données projet'!$B$9,Paramètres!$A$1:$I$89,3,0)*VLOOKUP('Données projet'!$B$9,Paramètres!$A$1:$I$89,5,0)</f>
        <v>-1.0286385077051818E-13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429.08375622925655</v>
      </c>
      <c r="T124" s="62">
        <f t="shared" si="88"/>
        <v>278.21741231699929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2.3462020361971603E-13</v>
      </c>
      <c r="AC124" s="24">
        <f t="shared" si="57"/>
        <v>2.3462020361971603E-13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-1.1368683772161603E-13</v>
      </c>
      <c r="AJ124" s="14">
        <f>AI124*VLOOKUP('Données projet'!$B$10,Paramètres!$A$1:$I$89,3,0)*VLOOKUP('Données projet'!$B$10,Paramètres!$A$1:$I$89,5,0)</f>
        <v>-1.0818439477588981E-13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449.16408464351673</v>
      </c>
      <c r="AO124" s="62">
        <f t="shared" si="90"/>
        <v>290.39826583283588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2.4675573139314976E-13</v>
      </c>
      <c r="AX124" s="23">
        <f t="shared" si="60"/>
        <v>2.4675573139314976E-13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-1.1368683772161603E-13</v>
      </c>
      <c r="BE124" s="14">
        <f>BD124*VLOOKUP('Données projet'!$B$11,Paramètres!$A$1:$I$89,3,0)*VLOOKUP('Données projet'!$B$11,Paramètres!$A$1:$I$89,5,0)</f>
        <v>-1.0995790944434703E-13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455.85294519779609</v>
      </c>
      <c r="BJ124" s="62">
        <f t="shared" si="92"/>
        <v>294.45557293177131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2.5080090731762756E-13</v>
      </c>
      <c r="BS124" s="24">
        <f t="shared" si="63"/>
        <v>2.5080090731762756E-13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5.6843418860808015E-14</v>
      </c>
      <c r="BZ124" s="14">
        <f>BY124*VLOOKUP('Données projet'!$B$12,Paramètres!$A$1:$I$89,3,0)*VLOOKUP('Données projet'!$B$12,Paramètres!$A$1:$I$89,5,0)</f>
        <v>4.9658410716801891E-14</v>
      </c>
      <c r="CA124" s="14">
        <f t="shared" si="93"/>
        <v>8.0934058173791862E-13</v>
      </c>
      <c r="CB124" s="22">
        <f t="shared" si="64"/>
        <v>1.4960899118586383E-12</v>
      </c>
      <c r="CC124" s="62">
        <f t="shared" si="65"/>
        <v>293.33333333333479</v>
      </c>
      <c r="CD124" s="62">
        <f ca="1">AVERAGE(OFFSET($CC$3,0,0,'Données projet'!$E$12+1,1))-AVERAGE(OFFSET($H$3,0,0,'Données projet'!$E$12+1,1))</f>
        <v>304.32767345253382</v>
      </c>
      <c r="CE124" s="62">
        <f t="shared" si="94"/>
        <v>427.16091343339173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-5.6843418860808015E-14</v>
      </c>
      <c r="CU124" s="18">
        <f>CT124*VLOOKUP('Données projet'!$B$13,Paramètres!$A$1:$I$89,3,0)*VLOOKUP('Données projet'!$B$13,Paramètres!$A$1:$I$89,5,0)</f>
        <v>-5.1431925385259088E-14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350.06545824795847</v>
      </c>
      <c r="CZ124" s="62">
        <f t="shared" si="96"/>
        <v>513.80016421153414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-1.1368683772161603E-13</v>
      </c>
      <c r="DP124" s="18">
        <f>DO124*VLOOKUP('Données projet'!$B$14,Paramètres!$A$1:$I$89,3,0)*VLOOKUP('Données projet'!$B$14,Paramètres!$A$1:$I$89,5,0)</f>
        <v>-9.0449248091317723E-14</v>
      </c>
      <c r="DQ124" s="14" t="e">
        <f t="shared" si="97"/>
        <v>#NUM!</v>
      </c>
      <c r="DR124" s="22" t="e">
        <f t="shared" si="70"/>
        <v>#NUM!</v>
      </c>
      <c r="DS124" s="62" t="e">
        <f t="shared" si="71"/>
        <v>#NUM!</v>
      </c>
      <c r="DT124" s="62">
        <f ca="1">AVERAGE(OFFSET($DS$3,0,0,'Données projet'!$E$14+1,1))-AVERAGE(OFFSET($H$3,0,0,'Données projet'!$E$14+1,1))</f>
        <v>382.14353215900121</v>
      </c>
      <c r="DU124" s="62">
        <f t="shared" si="98"/>
        <v>249.73945975250177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2.0630397214837116E-13</v>
      </c>
      <c r="ED124" s="24">
        <f t="shared" si="72"/>
        <v>2.0630397214837116E-13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-1.1368683772161603E-13</v>
      </c>
      <c r="O125" s="14">
        <f>N125*VLOOKUP('Données projet'!$B$9,Paramètres!$A$1:$I$89,3,0)*VLOOKUP('Données projet'!$B$9,Paramètres!$A$1:$I$89,5,0)</f>
        <v>-1.0286385077051818E-13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429.08375622925655</v>
      </c>
      <c r="T125" s="62">
        <f t="shared" si="88"/>
        <v>278.21741231699929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1.6590153698286978E-13</v>
      </c>
      <c r="AC125" s="24">
        <f t="shared" si="57"/>
        <v>1.6590153698286978E-13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-1.1368683772161603E-13</v>
      </c>
      <c r="AJ125" s="14">
        <f>AI125*VLOOKUP('Données projet'!$B$10,Paramètres!$A$1:$I$89,3,0)*VLOOKUP('Données projet'!$B$10,Paramètres!$A$1:$I$89,5,0)</f>
        <v>-1.0818439477588981E-13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449.16408464351673</v>
      </c>
      <c r="AO125" s="62">
        <f t="shared" si="90"/>
        <v>290.39826583283588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1.7448265096474245E-13</v>
      </c>
      <c r="AX125" s="23">
        <f t="shared" si="60"/>
        <v>1.7448265096474245E-13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-1.1368683772161603E-13</v>
      </c>
      <c r="BE125" s="14">
        <f>BD125*VLOOKUP('Données projet'!$B$11,Paramètres!$A$1:$I$89,3,0)*VLOOKUP('Données projet'!$B$11,Paramètres!$A$1:$I$89,5,0)</f>
        <v>-1.0995790944434703E-13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455.85294519779609</v>
      </c>
      <c r="BJ125" s="62">
        <f t="shared" si="92"/>
        <v>294.45557293177131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1.7734302229203326E-13</v>
      </c>
      <c r="BS125" s="24">
        <f t="shared" si="63"/>
        <v>1.7734302229203326E-13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5.6843418860808015E-14</v>
      </c>
      <c r="BZ125" s="14">
        <f>BY125*VLOOKUP('Données projet'!$B$12,Paramètres!$A$1:$I$89,3,0)*VLOOKUP('Données projet'!$B$12,Paramètres!$A$1:$I$89,5,0)</f>
        <v>4.9658410716801891E-14</v>
      </c>
      <c r="CA125" s="14">
        <f t="shared" si="93"/>
        <v>8.0934058173791862E-13</v>
      </c>
      <c r="CB125" s="22">
        <f t="shared" si="64"/>
        <v>1.4960899118586383E-12</v>
      </c>
      <c r="CC125" s="62">
        <f t="shared" si="65"/>
        <v>293.33333333333479</v>
      </c>
      <c r="CD125" s="62">
        <f ca="1">AVERAGE(OFFSET($CC$3,0,0,'Données projet'!$E$12+1,1))-AVERAGE(OFFSET($H$3,0,0,'Données projet'!$E$12+1,1))</f>
        <v>304.32767345253382</v>
      </c>
      <c r="CE125" s="62">
        <f t="shared" si="94"/>
        <v>427.16091343339173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-5.6843418860808015E-14</v>
      </c>
      <c r="CU125" s="18">
        <f>CT125*VLOOKUP('Données projet'!$B$13,Paramètres!$A$1:$I$89,3,0)*VLOOKUP('Données projet'!$B$13,Paramètres!$A$1:$I$89,5,0)</f>
        <v>-5.1431925385259088E-14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350.06545824795847</v>
      </c>
      <c r="CZ125" s="62">
        <f t="shared" si="96"/>
        <v>513.80016421153414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-1.1368683772161603E-13</v>
      </c>
      <c r="DP125" s="18">
        <f>DO125*VLOOKUP('Données projet'!$B$14,Paramètres!$A$1:$I$89,3,0)*VLOOKUP('Données projet'!$B$14,Paramètres!$A$1:$I$89,5,0)</f>
        <v>-9.0449248091317723E-14</v>
      </c>
      <c r="DQ125" s="14" t="e">
        <f t="shared" si="97"/>
        <v>#NUM!</v>
      </c>
      <c r="DR125" s="22" t="e">
        <f t="shared" si="70"/>
        <v>#NUM!</v>
      </c>
      <c r="DS125" s="62" t="e">
        <f t="shared" si="71"/>
        <v>#NUM!</v>
      </c>
      <c r="DT125" s="62">
        <f ca="1">AVERAGE(OFFSET($DS$3,0,0,'Données projet'!$E$14+1,1))-AVERAGE(OFFSET($H$3,0,0,'Données projet'!$E$14+1,1))</f>
        <v>382.14353215900121</v>
      </c>
      <c r="DU125" s="62">
        <f t="shared" si="98"/>
        <v>249.73945975250177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1.4587893769183388E-13</v>
      </c>
      <c r="ED125" s="24">
        <f t="shared" si="72"/>
        <v>1.4587893769183388E-13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-1.1368683772161603E-13</v>
      </c>
      <c r="O126" s="14">
        <f>N126*VLOOKUP('Données projet'!$B$9,Paramètres!$A$1:$I$89,3,0)*VLOOKUP('Données projet'!$B$9,Paramètres!$A$1:$I$89,5,0)</f>
        <v>-1.0286385077051818E-13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429.08375622925655</v>
      </c>
      <c r="T126" s="62">
        <f t="shared" si="88"/>
        <v>278.21741231699929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1.1731010180985802E-13</v>
      </c>
      <c r="AC126" s="24">
        <f t="shared" si="57"/>
        <v>1.1731010180985802E-13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-1.1368683772161603E-13</v>
      </c>
      <c r="AJ126" s="14">
        <f>AI126*VLOOKUP('Données projet'!$B$10,Paramètres!$A$1:$I$89,3,0)*VLOOKUP('Données projet'!$B$10,Paramètres!$A$1:$I$89,5,0)</f>
        <v>-1.0818439477588981E-13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449.16408464351673</v>
      </c>
      <c r="AO126" s="62">
        <f t="shared" si="90"/>
        <v>290.39826583283588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1.2337786569657488E-13</v>
      </c>
      <c r="AX126" s="23">
        <f t="shared" si="60"/>
        <v>1.2337786569657488E-13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-1.1368683772161603E-13</v>
      </c>
      <c r="BE126" s="14">
        <f>BD126*VLOOKUP('Données projet'!$B$11,Paramètres!$A$1:$I$89,3,0)*VLOOKUP('Données projet'!$B$11,Paramètres!$A$1:$I$89,5,0)</f>
        <v>-1.0995790944434703E-13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455.85294519779609</v>
      </c>
      <c r="BJ126" s="62">
        <f t="shared" si="92"/>
        <v>294.45557293177131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1.2540045365881378E-13</v>
      </c>
      <c r="BS126" s="24">
        <f t="shared" si="63"/>
        <v>1.2540045365881378E-13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5.6843418860808015E-14</v>
      </c>
      <c r="BZ126" s="14">
        <f>BY126*VLOOKUP('Données projet'!$B$12,Paramètres!$A$1:$I$89,3,0)*VLOOKUP('Données projet'!$B$12,Paramètres!$A$1:$I$89,5,0)</f>
        <v>4.9658410716801891E-14</v>
      </c>
      <c r="CA126" s="14">
        <f t="shared" si="93"/>
        <v>8.0934058173791862E-13</v>
      </c>
      <c r="CB126" s="22">
        <f t="shared" si="64"/>
        <v>1.4960899118586383E-12</v>
      </c>
      <c r="CC126" s="62">
        <f t="shared" si="65"/>
        <v>293.33333333333479</v>
      </c>
      <c r="CD126" s="62">
        <f ca="1">AVERAGE(OFFSET($CC$3,0,0,'Données projet'!$E$12+1,1))-AVERAGE(OFFSET($H$3,0,0,'Données projet'!$E$12+1,1))</f>
        <v>304.32767345253382</v>
      </c>
      <c r="CE126" s="62">
        <f t="shared" si="94"/>
        <v>427.16091343339173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-5.6843418860808015E-14</v>
      </c>
      <c r="CU126" s="18">
        <f>CT126*VLOOKUP('Données projet'!$B$13,Paramètres!$A$1:$I$89,3,0)*VLOOKUP('Données projet'!$B$13,Paramètres!$A$1:$I$89,5,0)</f>
        <v>-5.1431925385259088E-14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350.06545824795847</v>
      </c>
      <c r="CZ126" s="62">
        <f t="shared" si="96"/>
        <v>513.80016421153414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-1.1368683772161603E-13</v>
      </c>
      <c r="DP126" s="18">
        <f>DO126*VLOOKUP('Données projet'!$B$14,Paramètres!$A$1:$I$89,3,0)*VLOOKUP('Données projet'!$B$14,Paramètres!$A$1:$I$89,5,0)</f>
        <v>-9.0449248091317723E-14</v>
      </c>
      <c r="DQ126" s="14" t="e">
        <f t="shared" si="97"/>
        <v>#NUM!</v>
      </c>
      <c r="DR126" s="22" t="e">
        <f t="shared" si="70"/>
        <v>#NUM!</v>
      </c>
      <c r="DS126" s="62" t="e">
        <f t="shared" si="71"/>
        <v>#NUM!</v>
      </c>
      <c r="DT126" s="62">
        <f ca="1">AVERAGE(OFFSET($DS$3,0,0,'Données projet'!$E$14+1,1))-AVERAGE(OFFSET($H$3,0,0,'Données projet'!$E$14+1,1))</f>
        <v>382.14353215900121</v>
      </c>
      <c r="DU126" s="62">
        <f t="shared" si="98"/>
        <v>249.73945975250177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1.0315198607418558E-13</v>
      </c>
      <c r="ED126" s="24">
        <f t="shared" si="72"/>
        <v>1.0315198607418558E-13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-1.1368683772161603E-13</v>
      </c>
      <c r="O127" s="14">
        <f>N127*VLOOKUP('Données projet'!$B$9,Paramètres!$A$1:$I$89,3,0)*VLOOKUP('Données projet'!$B$9,Paramètres!$A$1:$I$89,5,0)</f>
        <v>-1.0286385077051818E-13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429.08375622925655</v>
      </c>
      <c r="T127" s="62">
        <f t="shared" si="88"/>
        <v>278.21741231699929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8.2950768491434889E-14</v>
      </c>
      <c r="AC127" s="24">
        <f t="shared" si="57"/>
        <v>8.2950768491434889E-14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-1.1368683772161603E-13</v>
      </c>
      <c r="AJ127" s="14">
        <f>AI127*VLOOKUP('Données projet'!$B$10,Paramètres!$A$1:$I$89,3,0)*VLOOKUP('Données projet'!$B$10,Paramètres!$A$1:$I$89,5,0)</f>
        <v>-1.0818439477588981E-13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449.16408464351673</v>
      </c>
      <c r="AO127" s="62">
        <f t="shared" si="90"/>
        <v>290.39826583283588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8.7241325482371225E-14</v>
      </c>
      <c r="AX127" s="23">
        <f t="shared" si="60"/>
        <v>8.7241325482371225E-14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-1.1368683772161603E-13</v>
      </c>
      <c r="BE127" s="14">
        <f>BD127*VLOOKUP('Données projet'!$B$11,Paramètres!$A$1:$I$89,3,0)*VLOOKUP('Données projet'!$B$11,Paramètres!$A$1:$I$89,5,0)</f>
        <v>-1.0995790944434703E-13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455.85294519779609</v>
      </c>
      <c r="BJ127" s="62">
        <f t="shared" si="92"/>
        <v>294.45557293177131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8.8671511146016628E-14</v>
      </c>
      <c r="BS127" s="24">
        <f t="shared" si="63"/>
        <v>8.8671511146016628E-14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5.6843418860808015E-14</v>
      </c>
      <c r="BZ127" s="14">
        <f>BY127*VLOOKUP('Données projet'!$B$12,Paramètres!$A$1:$I$89,3,0)*VLOOKUP('Données projet'!$B$12,Paramètres!$A$1:$I$89,5,0)</f>
        <v>4.9658410716801891E-14</v>
      </c>
      <c r="CA127" s="14">
        <f t="shared" si="93"/>
        <v>8.0934058173791862E-13</v>
      </c>
      <c r="CB127" s="22">
        <f t="shared" si="64"/>
        <v>1.4960899118586383E-12</v>
      </c>
      <c r="CC127" s="62">
        <f t="shared" si="65"/>
        <v>293.33333333333479</v>
      </c>
      <c r="CD127" s="62">
        <f ca="1">AVERAGE(OFFSET($CC$3,0,0,'Données projet'!$E$12+1,1))-AVERAGE(OFFSET($H$3,0,0,'Données projet'!$E$12+1,1))</f>
        <v>304.32767345253382</v>
      </c>
      <c r="CE127" s="62">
        <f t="shared" si="94"/>
        <v>427.16091343339173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-5.6843418860808015E-14</v>
      </c>
      <c r="CU127" s="18">
        <f>CT127*VLOOKUP('Données projet'!$B$13,Paramètres!$A$1:$I$89,3,0)*VLOOKUP('Données projet'!$B$13,Paramètres!$A$1:$I$89,5,0)</f>
        <v>-5.1431925385259088E-14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350.06545824795847</v>
      </c>
      <c r="CZ127" s="62">
        <f t="shared" si="96"/>
        <v>513.80016421153414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-1.1368683772161603E-13</v>
      </c>
      <c r="DP127" s="18">
        <f>DO127*VLOOKUP('Données projet'!$B$14,Paramètres!$A$1:$I$89,3,0)*VLOOKUP('Données projet'!$B$14,Paramètres!$A$1:$I$89,5,0)</f>
        <v>-9.0449248091317723E-14</v>
      </c>
      <c r="DQ127" s="14" t="e">
        <f t="shared" si="97"/>
        <v>#NUM!</v>
      </c>
      <c r="DR127" s="22" t="e">
        <f t="shared" si="70"/>
        <v>#NUM!</v>
      </c>
      <c r="DS127" s="62" t="e">
        <f t="shared" si="71"/>
        <v>#NUM!</v>
      </c>
      <c r="DT127" s="62">
        <f ca="1">AVERAGE(OFFSET($DS$3,0,0,'Données projet'!$E$14+1,1))-AVERAGE(OFFSET($H$3,0,0,'Données projet'!$E$14+1,1))</f>
        <v>382.14353215900121</v>
      </c>
      <c r="DU127" s="62">
        <f t="shared" si="98"/>
        <v>249.73945975250177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7.293946884591694E-14</v>
      </c>
      <c r="ED127" s="24">
        <f t="shared" si="72"/>
        <v>7.293946884591694E-14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-1.1368683772161603E-13</v>
      </c>
      <c r="O128" s="14">
        <f>N128*VLOOKUP('Données projet'!$B$9,Paramètres!$A$1:$I$89,3,0)*VLOOKUP('Données projet'!$B$9,Paramètres!$A$1:$I$89,5,0)</f>
        <v>-1.0286385077051818E-13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429.08375622925655</v>
      </c>
      <c r="T128" s="62">
        <f t="shared" si="88"/>
        <v>278.21741231699929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5.8655050904929009E-14</v>
      </c>
      <c r="AC128" s="24">
        <f t="shared" si="57"/>
        <v>5.8655050904929009E-14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-1.1368683772161603E-13</v>
      </c>
      <c r="AJ128" s="14">
        <f>AI128*VLOOKUP('Données projet'!$B$10,Paramètres!$A$1:$I$89,3,0)*VLOOKUP('Données projet'!$B$10,Paramètres!$A$1:$I$89,5,0)</f>
        <v>-1.0818439477588981E-13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449.16408464351673</v>
      </c>
      <c r="AO128" s="62">
        <f t="shared" si="90"/>
        <v>290.39826583283588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6.1688932848287441E-14</v>
      </c>
      <c r="AX128" s="23">
        <f t="shared" si="60"/>
        <v>6.1688932848287441E-14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-1.1368683772161603E-13</v>
      </c>
      <c r="BE128" s="14">
        <f>BD128*VLOOKUP('Données projet'!$B$11,Paramètres!$A$1:$I$89,3,0)*VLOOKUP('Données projet'!$B$11,Paramètres!$A$1:$I$89,5,0)</f>
        <v>-1.0995790944434703E-13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455.85294519779609</v>
      </c>
      <c r="BJ128" s="62">
        <f t="shared" si="92"/>
        <v>294.45557293177131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6.2700226829406889E-14</v>
      </c>
      <c r="BS128" s="24">
        <f t="shared" si="63"/>
        <v>6.2700226829406889E-14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5.6843418860808015E-14</v>
      </c>
      <c r="BZ128" s="14">
        <f>BY128*VLOOKUP('Données projet'!$B$12,Paramètres!$A$1:$I$89,3,0)*VLOOKUP('Données projet'!$B$12,Paramètres!$A$1:$I$89,5,0)</f>
        <v>4.9658410716801891E-14</v>
      </c>
      <c r="CA128" s="14">
        <f t="shared" si="93"/>
        <v>8.0934058173791862E-13</v>
      </c>
      <c r="CB128" s="22">
        <f t="shared" si="64"/>
        <v>1.4960899118586383E-12</v>
      </c>
      <c r="CC128" s="62">
        <f t="shared" si="65"/>
        <v>293.33333333333479</v>
      </c>
      <c r="CD128" s="62">
        <f ca="1">AVERAGE(OFFSET($CC$3,0,0,'Données projet'!$E$12+1,1))-AVERAGE(OFFSET($H$3,0,0,'Données projet'!$E$12+1,1))</f>
        <v>304.32767345253382</v>
      </c>
      <c r="CE128" s="62">
        <f t="shared" si="94"/>
        <v>427.16091343339173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-5.6843418860808015E-14</v>
      </c>
      <c r="CU128" s="18">
        <f>CT128*VLOOKUP('Données projet'!$B$13,Paramètres!$A$1:$I$89,3,0)*VLOOKUP('Données projet'!$B$13,Paramètres!$A$1:$I$89,5,0)</f>
        <v>-5.1431925385259088E-14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350.06545824795847</v>
      </c>
      <c r="CZ128" s="62">
        <f t="shared" si="96"/>
        <v>513.80016421153414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-1.1368683772161603E-13</v>
      </c>
      <c r="DP128" s="18">
        <f>DO128*VLOOKUP('Données projet'!$B$14,Paramètres!$A$1:$I$89,3,0)*VLOOKUP('Données projet'!$B$14,Paramètres!$A$1:$I$89,5,0)</f>
        <v>-9.0449248091317723E-14</v>
      </c>
      <c r="DQ128" s="14" t="e">
        <f t="shared" si="97"/>
        <v>#NUM!</v>
      </c>
      <c r="DR128" s="22" t="e">
        <f t="shared" si="70"/>
        <v>#NUM!</v>
      </c>
      <c r="DS128" s="62" t="e">
        <f t="shared" si="71"/>
        <v>#NUM!</v>
      </c>
      <c r="DT128" s="62">
        <f ca="1">AVERAGE(OFFSET($DS$3,0,0,'Données projet'!$E$14+1,1))-AVERAGE(OFFSET($H$3,0,0,'Données projet'!$E$14+1,1))</f>
        <v>382.14353215900121</v>
      </c>
      <c r="DU128" s="62">
        <f t="shared" si="98"/>
        <v>249.73945975250177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5.157599303709279E-14</v>
      </c>
      <c r="ED128" s="24">
        <f t="shared" si="72"/>
        <v>5.157599303709279E-14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-1.1368683772161603E-13</v>
      </c>
      <c r="O129" s="14">
        <f>N129*VLOOKUP('Données projet'!$B$9,Paramètres!$A$1:$I$89,3,0)*VLOOKUP('Données projet'!$B$9,Paramètres!$A$1:$I$89,5,0)</f>
        <v>-1.0286385077051818E-13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429.08375622925655</v>
      </c>
      <c r="T129" s="62">
        <f t="shared" si="88"/>
        <v>278.21741231699929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4.1475384245717444E-14</v>
      </c>
      <c r="AC129" s="24">
        <f t="shared" si="57"/>
        <v>4.1475384245717444E-14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-1.1368683772161603E-13</v>
      </c>
      <c r="AJ129" s="14">
        <f>AI129*VLOOKUP('Données projet'!$B$10,Paramètres!$A$1:$I$89,3,0)*VLOOKUP('Données projet'!$B$10,Paramètres!$A$1:$I$89,5,0)</f>
        <v>-1.0818439477588981E-13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449.16408464351673</v>
      </c>
      <c r="AO129" s="62">
        <f t="shared" si="90"/>
        <v>290.39826583283588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4.3620662741185612E-14</v>
      </c>
      <c r="AX129" s="23">
        <f t="shared" si="60"/>
        <v>4.3620662741185612E-14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-1.1368683772161603E-13</v>
      </c>
      <c r="BE129" s="14">
        <f>BD129*VLOOKUP('Données projet'!$B$11,Paramètres!$A$1:$I$89,3,0)*VLOOKUP('Données projet'!$B$11,Paramètres!$A$1:$I$89,5,0)</f>
        <v>-1.0995790944434703E-13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455.85294519779609</v>
      </c>
      <c r="BJ129" s="62">
        <f t="shared" si="92"/>
        <v>294.45557293177131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4.4335755573008314E-14</v>
      </c>
      <c r="BS129" s="24">
        <f t="shared" si="63"/>
        <v>4.4335755573008314E-14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5.6843418860808015E-14</v>
      </c>
      <c r="BZ129" s="14">
        <f>BY129*VLOOKUP('Données projet'!$B$12,Paramètres!$A$1:$I$89,3,0)*VLOOKUP('Données projet'!$B$12,Paramètres!$A$1:$I$89,5,0)</f>
        <v>4.9658410716801891E-14</v>
      </c>
      <c r="CA129" s="14">
        <f t="shared" si="93"/>
        <v>8.0934058173791862E-13</v>
      </c>
      <c r="CB129" s="22">
        <f t="shared" si="64"/>
        <v>1.4960899118586383E-12</v>
      </c>
      <c r="CC129" s="62">
        <f t="shared" si="65"/>
        <v>293.33333333333479</v>
      </c>
      <c r="CD129" s="62">
        <f ca="1">AVERAGE(OFFSET($CC$3,0,0,'Données projet'!$E$12+1,1))-AVERAGE(OFFSET($H$3,0,0,'Données projet'!$E$12+1,1))</f>
        <v>304.32767345253382</v>
      </c>
      <c r="CE129" s="62">
        <f t="shared" si="94"/>
        <v>427.16091343339173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-5.6843418860808015E-14</v>
      </c>
      <c r="CU129" s="18">
        <f>CT129*VLOOKUP('Données projet'!$B$13,Paramètres!$A$1:$I$89,3,0)*VLOOKUP('Données projet'!$B$13,Paramètres!$A$1:$I$89,5,0)</f>
        <v>-5.1431925385259088E-14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350.06545824795847</v>
      </c>
      <c r="CZ129" s="62">
        <f t="shared" si="96"/>
        <v>513.80016421153414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-1.1368683772161603E-13</v>
      </c>
      <c r="DP129" s="18">
        <f>DO129*VLOOKUP('Données projet'!$B$14,Paramètres!$A$1:$I$89,3,0)*VLOOKUP('Données projet'!$B$14,Paramètres!$A$1:$I$89,5,0)</f>
        <v>-9.0449248091317723E-14</v>
      </c>
      <c r="DQ129" s="14" t="e">
        <f t="shared" si="97"/>
        <v>#NUM!</v>
      </c>
      <c r="DR129" s="22" t="e">
        <f t="shared" si="70"/>
        <v>#NUM!</v>
      </c>
      <c r="DS129" s="62" t="e">
        <f t="shared" si="71"/>
        <v>#NUM!</v>
      </c>
      <c r="DT129" s="62">
        <f ca="1">AVERAGE(OFFSET($DS$3,0,0,'Données projet'!$E$14+1,1))-AVERAGE(OFFSET($H$3,0,0,'Données projet'!$E$14+1,1))</f>
        <v>382.14353215900121</v>
      </c>
      <c r="DU129" s="62">
        <f t="shared" si="98"/>
        <v>249.73945975250177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3.646973442295847E-14</v>
      </c>
      <c r="ED129" s="24">
        <f t="shared" si="72"/>
        <v>3.646973442295847E-14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-1.1368683772161603E-13</v>
      </c>
      <c r="O130" s="14">
        <f>N130*VLOOKUP('Données projet'!$B$9,Paramètres!$A$1:$I$89,3,0)*VLOOKUP('Données projet'!$B$9,Paramètres!$A$1:$I$89,5,0)</f>
        <v>-1.0286385077051818E-13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429.08375622925655</v>
      </c>
      <c r="T130" s="62">
        <f t="shared" si="88"/>
        <v>278.21741231699929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2.9327525452464504E-14</v>
      </c>
      <c r="AC130" s="24">
        <f t="shared" si="57"/>
        <v>2.9327525452464504E-14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-1.1368683772161603E-13</v>
      </c>
      <c r="AJ130" s="14">
        <f>AI130*VLOOKUP('Données projet'!$B$10,Paramètres!$A$1:$I$89,3,0)*VLOOKUP('Données projet'!$B$10,Paramètres!$A$1:$I$89,5,0)</f>
        <v>-1.0818439477588981E-13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449.16408464351673</v>
      </c>
      <c r="AO130" s="62">
        <f t="shared" si="90"/>
        <v>290.39826583283588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3.0844466424143721E-14</v>
      </c>
      <c r="AX130" s="23">
        <f t="shared" si="60"/>
        <v>3.0844466424143721E-14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-1.1368683772161603E-13</v>
      </c>
      <c r="BE130" s="14">
        <f>BD130*VLOOKUP('Données projet'!$B$11,Paramètres!$A$1:$I$89,3,0)*VLOOKUP('Données projet'!$B$11,Paramètres!$A$1:$I$89,5,0)</f>
        <v>-1.0995790944434703E-13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455.85294519779609</v>
      </c>
      <c r="BJ130" s="62">
        <f t="shared" si="92"/>
        <v>294.45557293177131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3.1350113414703445E-14</v>
      </c>
      <c r="BS130" s="24">
        <f t="shared" si="63"/>
        <v>3.1350113414703445E-14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5.6843418860808015E-14</v>
      </c>
      <c r="BZ130" s="14">
        <f>BY130*VLOOKUP('Données projet'!$B$12,Paramètres!$A$1:$I$89,3,0)*VLOOKUP('Données projet'!$B$12,Paramètres!$A$1:$I$89,5,0)</f>
        <v>4.9658410716801891E-14</v>
      </c>
      <c r="CA130" s="14">
        <f t="shared" si="93"/>
        <v>8.0934058173791862E-13</v>
      </c>
      <c r="CB130" s="22">
        <f t="shared" si="64"/>
        <v>1.4960899118586383E-12</v>
      </c>
      <c r="CC130" s="62">
        <f t="shared" si="65"/>
        <v>293.33333333333479</v>
      </c>
      <c r="CD130" s="62">
        <f ca="1">AVERAGE(OFFSET($CC$3,0,0,'Données projet'!$E$12+1,1))-AVERAGE(OFFSET($H$3,0,0,'Données projet'!$E$12+1,1))</f>
        <v>304.32767345253382</v>
      </c>
      <c r="CE130" s="62">
        <f t="shared" si="94"/>
        <v>427.16091343339173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-5.6843418860808015E-14</v>
      </c>
      <c r="CU130" s="18">
        <f>CT130*VLOOKUP('Données projet'!$B$13,Paramètres!$A$1:$I$89,3,0)*VLOOKUP('Données projet'!$B$13,Paramètres!$A$1:$I$89,5,0)</f>
        <v>-5.1431925385259088E-14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350.06545824795847</v>
      </c>
      <c r="CZ130" s="62">
        <f t="shared" si="96"/>
        <v>513.80016421153414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-1.1368683772161603E-13</v>
      </c>
      <c r="DP130" s="18">
        <f>DO130*VLOOKUP('Données projet'!$B$14,Paramètres!$A$1:$I$89,3,0)*VLOOKUP('Données projet'!$B$14,Paramètres!$A$1:$I$89,5,0)</f>
        <v>-9.0449248091317723E-14</v>
      </c>
      <c r="DQ130" s="14" t="e">
        <f t="shared" si="97"/>
        <v>#NUM!</v>
      </c>
      <c r="DR130" s="22" t="e">
        <f t="shared" si="70"/>
        <v>#NUM!</v>
      </c>
      <c r="DS130" s="62" t="e">
        <f t="shared" si="71"/>
        <v>#NUM!</v>
      </c>
      <c r="DT130" s="62">
        <f ca="1">AVERAGE(OFFSET($DS$3,0,0,'Données projet'!$E$14+1,1))-AVERAGE(OFFSET($H$3,0,0,'Données projet'!$E$14+1,1))</f>
        <v>382.14353215900121</v>
      </c>
      <c r="DU130" s="62">
        <f t="shared" si="98"/>
        <v>249.73945975250177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2.5787996518546395E-14</v>
      </c>
      <c r="ED130" s="24">
        <f t="shared" si="72"/>
        <v>2.5787996518546395E-14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-1.1368683772161603E-13</v>
      </c>
      <c r="O131" s="14">
        <f>N131*VLOOKUP('Données projet'!$B$9,Paramètres!$A$1:$I$89,3,0)*VLOOKUP('Données projet'!$B$9,Paramètres!$A$1:$I$89,5,0)</f>
        <v>-1.0286385077051818E-13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429.08375622925655</v>
      </c>
      <c r="T131" s="62">
        <f t="shared" si="88"/>
        <v>278.21741231699929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2.0737692122858722E-14</v>
      </c>
      <c r="AC131" s="24">
        <f t="shared" si="57"/>
        <v>2.0737692122858722E-14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-1.1368683772161603E-13</v>
      </c>
      <c r="AJ131" s="14">
        <f>AI131*VLOOKUP('Données projet'!$B$10,Paramètres!$A$1:$I$89,3,0)*VLOOKUP('Données projet'!$B$10,Paramètres!$A$1:$I$89,5,0)</f>
        <v>-1.0818439477588981E-13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449.16408464351673</v>
      </c>
      <c r="AO131" s="62">
        <f t="shared" si="90"/>
        <v>290.39826583283588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2.1810331370592806E-14</v>
      </c>
      <c r="AX131" s="23">
        <f t="shared" si="60"/>
        <v>2.1810331370592806E-14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-1.1368683772161603E-13</v>
      </c>
      <c r="BE131" s="14">
        <f>BD131*VLOOKUP('Données projet'!$B$11,Paramètres!$A$1:$I$89,3,0)*VLOOKUP('Données projet'!$B$11,Paramètres!$A$1:$I$89,5,0)</f>
        <v>-1.0995790944434703E-13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455.85294519779609</v>
      </c>
      <c r="BJ131" s="62">
        <f t="shared" si="92"/>
        <v>294.45557293177131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2.2167877786504157E-14</v>
      </c>
      <c r="BS131" s="24">
        <f t="shared" si="63"/>
        <v>2.2167877786504157E-14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5.6843418860808015E-14</v>
      </c>
      <c r="BZ131" s="14">
        <f>BY131*VLOOKUP('Données projet'!$B$12,Paramètres!$A$1:$I$89,3,0)*VLOOKUP('Données projet'!$B$12,Paramètres!$A$1:$I$89,5,0)</f>
        <v>4.9658410716801891E-14</v>
      </c>
      <c r="CA131" s="14">
        <f t="shared" si="93"/>
        <v>8.0934058173791862E-13</v>
      </c>
      <c r="CB131" s="22">
        <f t="shared" si="64"/>
        <v>1.4960899118586383E-12</v>
      </c>
      <c r="CC131" s="62">
        <f t="shared" si="65"/>
        <v>293.33333333333479</v>
      </c>
      <c r="CD131" s="62">
        <f ca="1">AVERAGE(OFFSET($CC$3,0,0,'Données projet'!$E$12+1,1))-AVERAGE(OFFSET($H$3,0,0,'Données projet'!$E$12+1,1))</f>
        <v>304.32767345253382</v>
      </c>
      <c r="CE131" s="62">
        <f t="shared" si="94"/>
        <v>427.16091343339173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-5.6843418860808015E-14</v>
      </c>
      <c r="CU131" s="18">
        <f>CT131*VLOOKUP('Données projet'!$B$13,Paramètres!$A$1:$I$89,3,0)*VLOOKUP('Données projet'!$B$13,Paramètres!$A$1:$I$89,5,0)</f>
        <v>-5.1431925385259088E-14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350.06545824795847</v>
      </c>
      <c r="CZ131" s="62">
        <f t="shared" si="96"/>
        <v>513.80016421153414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-1.1368683772161603E-13</v>
      </c>
      <c r="DP131" s="18">
        <f>DO131*VLOOKUP('Données projet'!$B$14,Paramètres!$A$1:$I$89,3,0)*VLOOKUP('Données projet'!$B$14,Paramètres!$A$1:$I$89,5,0)</f>
        <v>-9.0449248091317723E-14</v>
      </c>
      <c r="DQ131" s="14" t="e">
        <f t="shared" si="97"/>
        <v>#NUM!</v>
      </c>
      <c r="DR131" s="22" t="e">
        <f t="shared" si="70"/>
        <v>#NUM!</v>
      </c>
      <c r="DS131" s="62" t="e">
        <f t="shared" si="71"/>
        <v>#NUM!</v>
      </c>
      <c r="DT131" s="62">
        <f ca="1">AVERAGE(OFFSET($DS$3,0,0,'Données projet'!$E$14+1,1))-AVERAGE(OFFSET($H$3,0,0,'Données projet'!$E$14+1,1))</f>
        <v>382.14353215900121</v>
      </c>
      <c r="DU131" s="62">
        <f t="shared" si="98"/>
        <v>249.73945975250177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1.8234867211479235E-14</v>
      </c>
      <c r="ED131" s="24">
        <f t="shared" si="72"/>
        <v>1.8234867211479235E-14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-1.1368683772161603E-13</v>
      </c>
      <c r="O132" s="14">
        <f>N132*VLOOKUP('Données projet'!$B$9,Paramètres!$A$1:$I$89,3,0)*VLOOKUP('Données projet'!$B$9,Paramètres!$A$1:$I$89,5,0)</f>
        <v>-1.0286385077051818E-13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429.08375622925655</v>
      </c>
      <c r="T132" s="62">
        <f t="shared" si="88"/>
        <v>278.21741231699929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1.4663762726232252E-14</v>
      </c>
      <c r="AC132" s="24">
        <f t="shared" ref="AC132:AC153" si="111">SUM(Z132:AB132)</f>
        <v>1.4663762726232252E-14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-1.1368683772161603E-13</v>
      </c>
      <c r="AJ132" s="14">
        <f>AI132*VLOOKUP('Données projet'!$B$10,Paramètres!$A$1:$I$89,3,0)*VLOOKUP('Données projet'!$B$10,Paramètres!$A$1:$I$89,5,0)</f>
        <v>-1.0818439477588981E-13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449.16408464351673</v>
      </c>
      <c r="AO132" s="62">
        <f t="shared" si="90"/>
        <v>290.39826583283588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1.542223321207186E-14</v>
      </c>
      <c r="AX132" s="23">
        <f t="shared" ref="AX132:AX153" si="114">SUM(AU132:AW132)</f>
        <v>1.542223321207186E-14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-1.1368683772161603E-13</v>
      </c>
      <c r="BE132" s="14">
        <f>BD132*VLOOKUP('Données projet'!$B$11,Paramètres!$A$1:$I$89,3,0)*VLOOKUP('Données projet'!$B$11,Paramètres!$A$1:$I$89,5,0)</f>
        <v>-1.0995790944434703E-13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455.85294519779609</v>
      </c>
      <c r="BJ132" s="62">
        <f t="shared" si="92"/>
        <v>294.45557293177131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1.5675056707351722E-14</v>
      </c>
      <c r="BS132" s="24">
        <f t="shared" ref="BS132:BS153" si="117">SUM(BP132:BR132)</f>
        <v>1.5675056707351722E-14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5.6843418860808015E-14</v>
      </c>
      <c r="BZ132" s="14">
        <f>BY132*VLOOKUP('Données projet'!$B$12,Paramètres!$A$1:$I$89,3,0)*VLOOKUP('Données projet'!$B$12,Paramètres!$A$1:$I$89,5,0)</f>
        <v>4.9658410716801891E-14</v>
      </c>
      <c r="CA132" s="14">
        <f t="shared" si="93"/>
        <v>8.0934058173791862E-13</v>
      </c>
      <c r="CB132" s="22">
        <f t="shared" ref="CB132:CB153" si="118">(BZ132+CA132)*0.475*44/12</f>
        <v>1.4960899118586383E-12</v>
      </c>
      <c r="CC132" s="62">
        <f t="shared" ref="CC132:CC195" si="119">CB132+(BT132+BU132)*44/12</f>
        <v>293.33333333333479</v>
      </c>
      <c r="CD132" s="62">
        <f ca="1">AVERAGE(OFFSET($CC$3,0,0,'Données projet'!$E$12+1,1))-AVERAGE(OFFSET($H$3,0,0,'Données projet'!$E$12+1,1))</f>
        <v>304.32767345253382</v>
      </c>
      <c r="CE132" s="62">
        <f t="shared" si="94"/>
        <v>427.16091343339173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-5.6843418860808015E-14</v>
      </c>
      <c r="CU132" s="18">
        <f>CT132*VLOOKUP('Données projet'!$B$13,Paramètres!$A$1:$I$89,3,0)*VLOOKUP('Données projet'!$B$13,Paramètres!$A$1:$I$89,5,0)</f>
        <v>-5.1431925385259088E-14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350.06545824795847</v>
      </c>
      <c r="CZ132" s="62">
        <f t="shared" si="96"/>
        <v>513.80016421153414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-1.1368683772161603E-13</v>
      </c>
      <c r="DP132" s="18">
        <f>DO132*VLOOKUP('Données projet'!$B$14,Paramètres!$A$1:$I$89,3,0)*VLOOKUP('Données projet'!$B$14,Paramètres!$A$1:$I$89,5,0)</f>
        <v>-9.0449248091317723E-14</v>
      </c>
      <c r="DQ132" s="14" t="e">
        <f t="shared" si="97"/>
        <v>#NUM!</v>
      </c>
      <c r="DR132" s="22" t="e">
        <f t="shared" ref="DR132:DR153" si="124">(DP132+DQ132)*0.475*44/12</f>
        <v>#NUM!</v>
      </c>
      <c r="DS132" s="62" t="e">
        <f t="shared" ref="DS132:DS195" si="125">DR132+(DJ132+DK132)*44/12</f>
        <v>#NUM!</v>
      </c>
      <c r="DT132" s="62">
        <f ca="1">AVERAGE(OFFSET($DS$3,0,0,'Données projet'!$E$14+1,1))-AVERAGE(OFFSET($H$3,0,0,'Données projet'!$E$14+1,1))</f>
        <v>382.14353215900121</v>
      </c>
      <c r="DU132" s="62">
        <f t="shared" si="98"/>
        <v>249.73945975250177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1.2893998259273198E-14</v>
      </c>
      <c r="ED132" s="24">
        <f t="shared" ref="ED132:ED153" si="126">SUM(EA132:EC132)</f>
        <v>1.2893998259273198E-14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-1.1368683772161603E-13</v>
      </c>
      <c r="O133" s="14">
        <f>N133*VLOOKUP('Données projet'!$B$9,Paramètres!$A$1:$I$89,3,0)*VLOOKUP('Données projet'!$B$9,Paramètres!$A$1:$I$89,5,0)</f>
        <v>-1.0286385077051818E-13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429.08375622925655</v>
      </c>
      <c r="T133" s="62">
        <f t="shared" ref="T133:T196" si="142">$T$3</f>
        <v>278.21741231699929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1.0368846061429361E-14</v>
      </c>
      <c r="AC133" s="24">
        <f t="shared" si="111"/>
        <v>1.0368846061429361E-14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-1.1368683772161603E-13</v>
      </c>
      <c r="AJ133" s="14">
        <f>AI133*VLOOKUP('Données projet'!$B$10,Paramètres!$A$1:$I$89,3,0)*VLOOKUP('Données projet'!$B$10,Paramètres!$A$1:$I$89,5,0)</f>
        <v>-1.0818439477588981E-13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449.16408464351673</v>
      </c>
      <c r="AO133" s="62">
        <f t="shared" ref="AO133:AO196" si="144">$AO$3</f>
        <v>290.39826583283588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1.0905165685296403E-14</v>
      </c>
      <c r="AX133" s="23">
        <f t="shared" si="114"/>
        <v>1.0905165685296403E-14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-1.1368683772161603E-13</v>
      </c>
      <c r="BE133" s="14">
        <f>BD133*VLOOKUP('Données projet'!$B$11,Paramètres!$A$1:$I$89,3,0)*VLOOKUP('Données projet'!$B$11,Paramètres!$A$1:$I$89,5,0)</f>
        <v>-1.0995790944434703E-13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455.85294519779609</v>
      </c>
      <c r="BJ133" s="62">
        <f t="shared" ref="BJ133:BJ196" si="146">$BJ$3</f>
        <v>294.45557293177131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1.1083938893252078E-14</v>
      </c>
      <c r="BS133" s="24">
        <f t="shared" si="117"/>
        <v>1.1083938893252078E-14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5.6843418860808015E-14</v>
      </c>
      <c r="BZ133" s="14">
        <f>BY133*VLOOKUP('Données projet'!$B$12,Paramètres!$A$1:$I$89,3,0)*VLOOKUP('Données projet'!$B$12,Paramètres!$A$1:$I$89,5,0)</f>
        <v>4.9658410716801891E-14</v>
      </c>
      <c r="CA133" s="14">
        <f t="shared" ref="CA133:CA153" si="147">EXP(-1.0587+0.8836*LN(BZ133)+0.284)</f>
        <v>8.0934058173791862E-13</v>
      </c>
      <c r="CB133" s="22">
        <f t="shared" si="118"/>
        <v>1.4960899118586383E-12</v>
      </c>
      <c r="CC133" s="62">
        <f t="shared" si="119"/>
        <v>293.33333333333479</v>
      </c>
      <c r="CD133" s="62">
        <f ca="1">AVERAGE(OFFSET($CC$3,0,0,'Données projet'!$E$12+1,1))-AVERAGE(OFFSET($H$3,0,0,'Données projet'!$E$12+1,1))</f>
        <v>304.32767345253382</v>
      </c>
      <c r="CE133" s="62">
        <f t="shared" ref="CE133:CE196" si="148">$CE$3</f>
        <v>427.16091343339173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-5.6843418860808015E-14</v>
      </c>
      <c r="CU133" s="18">
        <f>CT133*VLOOKUP('Données projet'!$B$13,Paramètres!$A$1:$I$89,3,0)*VLOOKUP('Données projet'!$B$13,Paramètres!$A$1:$I$89,5,0)</f>
        <v>-5.1431925385259088E-14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350.06545824795847</v>
      </c>
      <c r="CZ133" s="62">
        <f t="shared" ref="CZ133:CZ196" si="150">$CZ$3</f>
        <v>513.80016421153414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-1.1368683772161603E-13</v>
      </c>
      <c r="DP133" s="18">
        <f>DO133*VLOOKUP('Données projet'!$B$14,Paramètres!$A$1:$I$89,3,0)*VLOOKUP('Données projet'!$B$14,Paramètres!$A$1:$I$89,5,0)</f>
        <v>-9.0449248091317723E-14</v>
      </c>
      <c r="DQ133" s="14" t="e">
        <f t="shared" ref="DQ133:DQ153" si="151">EXP(-1.0587+0.8836*LN(DP133)+0.284)</f>
        <v>#NUM!</v>
      </c>
      <c r="DR133" s="22" t="e">
        <f t="shared" si="124"/>
        <v>#NUM!</v>
      </c>
      <c r="DS133" s="62" t="e">
        <f t="shared" si="125"/>
        <v>#NUM!</v>
      </c>
      <c r="DT133" s="62">
        <f ca="1">AVERAGE(OFFSET($DS$3,0,0,'Données projet'!$E$14+1,1))-AVERAGE(OFFSET($H$3,0,0,'Données projet'!$E$14+1,1))</f>
        <v>382.14353215900121</v>
      </c>
      <c r="DU133" s="62">
        <f t="shared" ref="DU133:DU196" si="152">$DU$3</f>
        <v>249.73945975250177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9.1174336057396175E-15</v>
      </c>
      <c r="ED133" s="24">
        <f t="shared" si="126"/>
        <v>9.1174336057396175E-15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-1.1368683772161603E-13</v>
      </c>
      <c r="O134" s="14">
        <f>N134*VLOOKUP('Données projet'!$B$9,Paramètres!$A$1:$I$89,3,0)*VLOOKUP('Données projet'!$B$9,Paramètres!$A$1:$I$89,5,0)</f>
        <v>-1.0286385077051818E-13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429.08375622925655</v>
      </c>
      <c r="T134" s="62">
        <f t="shared" si="142"/>
        <v>278.21741231699929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7.3318813631161261E-15</v>
      </c>
      <c r="AC134" s="24">
        <f t="shared" si="111"/>
        <v>7.3318813631161261E-15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-1.1368683772161603E-13</v>
      </c>
      <c r="AJ134" s="14">
        <f>AI134*VLOOKUP('Données projet'!$B$10,Paramètres!$A$1:$I$89,3,0)*VLOOKUP('Données projet'!$B$10,Paramètres!$A$1:$I$89,5,0)</f>
        <v>-1.0818439477588981E-13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449.16408464351673</v>
      </c>
      <c r="AO134" s="62">
        <f t="shared" si="144"/>
        <v>290.39826583283588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7.7111166060359301E-15</v>
      </c>
      <c r="AX134" s="23">
        <f t="shared" si="114"/>
        <v>7.7111166060359301E-15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-1.1368683772161603E-13</v>
      </c>
      <c r="BE134" s="14">
        <f>BD134*VLOOKUP('Données projet'!$B$11,Paramètres!$A$1:$I$89,3,0)*VLOOKUP('Données projet'!$B$11,Paramètres!$A$1:$I$89,5,0)</f>
        <v>-1.0995790944434703E-13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455.85294519779609</v>
      </c>
      <c r="BJ134" s="62">
        <f t="shared" si="146"/>
        <v>294.45557293177131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7.8375283536758612E-15</v>
      </c>
      <c r="BS134" s="24">
        <f t="shared" si="117"/>
        <v>7.8375283536758612E-15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5.6843418860808015E-14</v>
      </c>
      <c r="BZ134" s="14">
        <f>BY134*VLOOKUP('Données projet'!$B$12,Paramètres!$A$1:$I$89,3,0)*VLOOKUP('Données projet'!$B$12,Paramètres!$A$1:$I$89,5,0)</f>
        <v>4.9658410716801891E-14</v>
      </c>
      <c r="CA134" s="14">
        <f t="shared" si="147"/>
        <v>8.0934058173791862E-13</v>
      </c>
      <c r="CB134" s="22">
        <f t="shared" si="118"/>
        <v>1.4960899118586383E-12</v>
      </c>
      <c r="CC134" s="62">
        <f t="shared" si="119"/>
        <v>293.33333333333479</v>
      </c>
      <c r="CD134" s="62">
        <f ca="1">AVERAGE(OFFSET($CC$3,0,0,'Données projet'!$E$12+1,1))-AVERAGE(OFFSET($H$3,0,0,'Données projet'!$E$12+1,1))</f>
        <v>304.32767345253382</v>
      </c>
      <c r="CE134" s="62">
        <f t="shared" si="148"/>
        <v>427.16091343339173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-5.6843418860808015E-14</v>
      </c>
      <c r="CU134" s="18">
        <f>CT134*VLOOKUP('Données projet'!$B$13,Paramètres!$A$1:$I$89,3,0)*VLOOKUP('Données projet'!$B$13,Paramètres!$A$1:$I$89,5,0)</f>
        <v>-5.1431925385259088E-14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350.06545824795847</v>
      </c>
      <c r="CZ134" s="62">
        <f t="shared" si="150"/>
        <v>513.80016421153414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-1.1368683772161603E-13</v>
      </c>
      <c r="DP134" s="18">
        <f>DO134*VLOOKUP('Données projet'!$B$14,Paramètres!$A$1:$I$89,3,0)*VLOOKUP('Données projet'!$B$14,Paramètres!$A$1:$I$89,5,0)</f>
        <v>-9.0449248091317723E-14</v>
      </c>
      <c r="DQ134" s="14" t="e">
        <f t="shared" si="151"/>
        <v>#NUM!</v>
      </c>
      <c r="DR134" s="22" t="e">
        <f t="shared" si="124"/>
        <v>#NUM!</v>
      </c>
      <c r="DS134" s="62" t="e">
        <f t="shared" si="125"/>
        <v>#NUM!</v>
      </c>
      <c r="DT134" s="62">
        <f ca="1">AVERAGE(OFFSET($DS$3,0,0,'Données projet'!$E$14+1,1))-AVERAGE(OFFSET($H$3,0,0,'Données projet'!$E$14+1,1))</f>
        <v>382.14353215900121</v>
      </c>
      <c r="DU134" s="62">
        <f t="shared" si="152"/>
        <v>249.73945975250177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6.4469991296365988E-15</v>
      </c>
      <c r="ED134" s="24">
        <f t="shared" si="126"/>
        <v>6.4469991296365988E-15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-1.1368683772161603E-13</v>
      </c>
      <c r="O135" s="14">
        <f>N135*VLOOKUP('Données projet'!$B$9,Paramètres!$A$1:$I$89,3,0)*VLOOKUP('Données projet'!$B$9,Paramètres!$A$1:$I$89,5,0)</f>
        <v>-1.0286385077051818E-13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429.08375622925655</v>
      </c>
      <c r="T135" s="62">
        <f t="shared" si="142"/>
        <v>278.21741231699929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5.1844230307146806E-15</v>
      </c>
      <c r="AC135" s="24">
        <f t="shared" si="111"/>
        <v>5.1844230307146806E-15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-1.1368683772161603E-13</v>
      </c>
      <c r="AJ135" s="14">
        <f>AI135*VLOOKUP('Données projet'!$B$10,Paramètres!$A$1:$I$89,3,0)*VLOOKUP('Données projet'!$B$10,Paramètres!$A$1:$I$89,5,0)</f>
        <v>-1.0818439477588981E-13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449.16408464351673</v>
      </c>
      <c r="AO135" s="62">
        <f t="shared" si="144"/>
        <v>290.39826583283588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5.4525828426482015E-15</v>
      </c>
      <c r="AX135" s="23">
        <f t="shared" si="114"/>
        <v>5.4525828426482015E-15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-1.1368683772161603E-13</v>
      </c>
      <c r="BE135" s="14">
        <f>BD135*VLOOKUP('Données projet'!$B$11,Paramètres!$A$1:$I$89,3,0)*VLOOKUP('Données projet'!$B$11,Paramètres!$A$1:$I$89,5,0)</f>
        <v>-1.0995790944434703E-13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455.85294519779609</v>
      </c>
      <c r="BJ135" s="62">
        <f t="shared" si="146"/>
        <v>294.45557293177131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5.5419694466260392E-15</v>
      </c>
      <c r="BS135" s="24">
        <f t="shared" si="117"/>
        <v>5.5419694466260392E-15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5.6843418860808015E-14</v>
      </c>
      <c r="BZ135" s="14">
        <f>BY135*VLOOKUP('Données projet'!$B$12,Paramètres!$A$1:$I$89,3,0)*VLOOKUP('Données projet'!$B$12,Paramètres!$A$1:$I$89,5,0)</f>
        <v>4.9658410716801891E-14</v>
      </c>
      <c r="CA135" s="14">
        <f t="shared" si="147"/>
        <v>8.0934058173791862E-13</v>
      </c>
      <c r="CB135" s="22">
        <f t="shared" si="118"/>
        <v>1.4960899118586383E-12</v>
      </c>
      <c r="CC135" s="62">
        <f t="shared" si="119"/>
        <v>293.33333333333479</v>
      </c>
      <c r="CD135" s="62">
        <f ca="1">AVERAGE(OFFSET($CC$3,0,0,'Données projet'!$E$12+1,1))-AVERAGE(OFFSET($H$3,0,0,'Données projet'!$E$12+1,1))</f>
        <v>304.32767345253382</v>
      </c>
      <c r="CE135" s="62">
        <f t="shared" si="148"/>
        <v>427.16091343339173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-5.6843418860808015E-14</v>
      </c>
      <c r="CU135" s="18">
        <f>CT135*VLOOKUP('Données projet'!$B$13,Paramètres!$A$1:$I$89,3,0)*VLOOKUP('Données projet'!$B$13,Paramètres!$A$1:$I$89,5,0)</f>
        <v>-5.1431925385259088E-14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350.06545824795847</v>
      </c>
      <c r="CZ135" s="62">
        <f t="shared" si="150"/>
        <v>513.80016421153414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-1.1368683772161603E-13</v>
      </c>
      <c r="DP135" s="18">
        <f>DO135*VLOOKUP('Données projet'!$B$14,Paramètres!$A$1:$I$89,3,0)*VLOOKUP('Données projet'!$B$14,Paramètres!$A$1:$I$89,5,0)</f>
        <v>-9.0449248091317723E-14</v>
      </c>
      <c r="DQ135" s="14" t="e">
        <f t="shared" si="151"/>
        <v>#NUM!</v>
      </c>
      <c r="DR135" s="22" t="e">
        <f t="shared" si="124"/>
        <v>#NUM!</v>
      </c>
      <c r="DS135" s="62" t="e">
        <f t="shared" si="125"/>
        <v>#NUM!</v>
      </c>
      <c r="DT135" s="62">
        <f ca="1">AVERAGE(OFFSET($DS$3,0,0,'Données projet'!$E$14+1,1))-AVERAGE(OFFSET($H$3,0,0,'Données projet'!$E$14+1,1))</f>
        <v>382.14353215900121</v>
      </c>
      <c r="DU135" s="62">
        <f t="shared" si="152"/>
        <v>249.73945975250177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4.5587168028698088E-15</v>
      </c>
      <c r="ED135" s="24">
        <f t="shared" si="126"/>
        <v>4.5587168028698088E-15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-1.1368683772161603E-13</v>
      </c>
      <c r="O136" s="14">
        <f>N136*VLOOKUP('Données projet'!$B$9,Paramètres!$A$1:$I$89,3,0)*VLOOKUP('Données projet'!$B$9,Paramètres!$A$1:$I$89,5,0)</f>
        <v>-1.0286385077051818E-13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429.08375622925655</v>
      </c>
      <c r="T136" s="62">
        <f t="shared" si="142"/>
        <v>278.21741231699929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3.665940681558063E-15</v>
      </c>
      <c r="AC136" s="24">
        <f t="shared" si="111"/>
        <v>3.665940681558063E-15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-1.1368683772161603E-13</v>
      </c>
      <c r="AJ136" s="14">
        <f>AI136*VLOOKUP('Données projet'!$B$10,Paramètres!$A$1:$I$89,3,0)*VLOOKUP('Données projet'!$B$10,Paramètres!$A$1:$I$89,5,0)</f>
        <v>-1.0818439477588981E-13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449.16408464351673</v>
      </c>
      <c r="AO136" s="62">
        <f t="shared" si="144"/>
        <v>290.39826583283588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3.8555583030179651E-15</v>
      </c>
      <c r="AX136" s="23">
        <f t="shared" si="114"/>
        <v>3.8555583030179651E-15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-1.1368683772161603E-13</v>
      </c>
      <c r="BE136" s="14">
        <f>BD136*VLOOKUP('Données projet'!$B$11,Paramètres!$A$1:$I$89,3,0)*VLOOKUP('Données projet'!$B$11,Paramètres!$A$1:$I$89,5,0)</f>
        <v>-1.0995790944434703E-13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455.85294519779609</v>
      </c>
      <c r="BJ136" s="62">
        <f t="shared" si="146"/>
        <v>294.45557293177131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3.9187641768379306E-15</v>
      </c>
      <c r="BS136" s="24">
        <f t="shared" si="117"/>
        <v>3.9187641768379306E-15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5.6843418860808015E-14</v>
      </c>
      <c r="BZ136" s="14">
        <f>BY136*VLOOKUP('Données projet'!$B$12,Paramètres!$A$1:$I$89,3,0)*VLOOKUP('Données projet'!$B$12,Paramètres!$A$1:$I$89,5,0)</f>
        <v>4.9658410716801891E-14</v>
      </c>
      <c r="CA136" s="14">
        <f t="shared" si="147"/>
        <v>8.0934058173791862E-13</v>
      </c>
      <c r="CB136" s="22">
        <f t="shared" si="118"/>
        <v>1.4960899118586383E-12</v>
      </c>
      <c r="CC136" s="62">
        <f t="shared" si="119"/>
        <v>293.33333333333479</v>
      </c>
      <c r="CD136" s="62">
        <f ca="1">AVERAGE(OFFSET($CC$3,0,0,'Données projet'!$E$12+1,1))-AVERAGE(OFFSET($H$3,0,0,'Données projet'!$E$12+1,1))</f>
        <v>304.32767345253382</v>
      </c>
      <c r="CE136" s="62">
        <f t="shared" si="148"/>
        <v>427.16091343339173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-5.6843418860808015E-14</v>
      </c>
      <c r="CU136" s="18">
        <f>CT136*VLOOKUP('Données projet'!$B$13,Paramètres!$A$1:$I$89,3,0)*VLOOKUP('Données projet'!$B$13,Paramètres!$A$1:$I$89,5,0)</f>
        <v>-5.1431925385259088E-14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350.06545824795847</v>
      </c>
      <c r="CZ136" s="62">
        <f t="shared" si="150"/>
        <v>513.80016421153414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-1.1368683772161603E-13</v>
      </c>
      <c r="DP136" s="18">
        <f>DO136*VLOOKUP('Données projet'!$B$14,Paramètres!$A$1:$I$89,3,0)*VLOOKUP('Données projet'!$B$14,Paramètres!$A$1:$I$89,5,0)</f>
        <v>-9.0449248091317723E-14</v>
      </c>
      <c r="DQ136" s="14" t="e">
        <f t="shared" si="151"/>
        <v>#NUM!</v>
      </c>
      <c r="DR136" s="22" t="e">
        <f t="shared" si="124"/>
        <v>#NUM!</v>
      </c>
      <c r="DS136" s="62" t="e">
        <f t="shared" si="125"/>
        <v>#NUM!</v>
      </c>
      <c r="DT136" s="62">
        <f ca="1">AVERAGE(OFFSET($DS$3,0,0,'Données projet'!$E$14+1,1))-AVERAGE(OFFSET($H$3,0,0,'Données projet'!$E$14+1,1))</f>
        <v>382.14353215900121</v>
      </c>
      <c r="DU136" s="62">
        <f t="shared" si="152"/>
        <v>249.73945975250177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3.2234995648182994E-15</v>
      </c>
      <c r="ED136" s="24">
        <f t="shared" si="126"/>
        <v>3.2234995648182994E-15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-1.1368683772161603E-13</v>
      </c>
      <c r="O137" s="14">
        <f>N137*VLOOKUP('Données projet'!$B$9,Paramètres!$A$1:$I$89,3,0)*VLOOKUP('Données projet'!$B$9,Paramètres!$A$1:$I$89,5,0)</f>
        <v>-1.0286385077051818E-13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429.08375622925655</v>
      </c>
      <c r="T137" s="62">
        <f t="shared" si="142"/>
        <v>278.21741231699929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2.5922115153573403E-15</v>
      </c>
      <c r="AC137" s="24">
        <f t="shared" si="111"/>
        <v>2.5922115153573403E-15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-1.1368683772161603E-13</v>
      </c>
      <c r="AJ137" s="14">
        <f>AI137*VLOOKUP('Données projet'!$B$10,Paramètres!$A$1:$I$89,3,0)*VLOOKUP('Données projet'!$B$10,Paramètres!$A$1:$I$89,5,0)</f>
        <v>-1.0818439477588981E-13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449.16408464351673</v>
      </c>
      <c r="AO137" s="62">
        <f t="shared" si="144"/>
        <v>290.39826583283588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2.7262914213241008E-15</v>
      </c>
      <c r="AX137" s="23">
        <f t="shared" si="114"/>
        <v>2.7262914213241008E-15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-1.1368683772161603E-13</v>
      </c>
      <c r="BE137" s="14">
        <f>BD137*VLOOKUP('Données projet'!$B$11,Paramètres!$A$1:$I$89,3,0)*VLOOKUP('Données projet'!$B$11,Paramètres!$A$1:$I$89,5,0)</f>
        <v>-1.0995790944434703E-13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455.85294519779609</v>
      </c>
      <c r="BJ137" s="62">
        <f t="shared" si="146"/>
        <v>294.45557293177131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2.7709847233130196E-15</v>
      </c>
      <c r="BS137" s="24">
        <f t="shared" si="117"/>
        <v>2.7709847233130196E-15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5.6843418860808015E-14</v>
      </c>
      <c r="BZ137" s="14">
        <f>BY137*VLOOKUP('Données projet'!$B$12,Paramètres!$A$1:$I$89,3,0)*VLOOKUP('Données projet'!$B$12,Paramètres!$A$1:$I$89,5,0)</f>
        <v>4.9658410716801891E-14</v>
      </c>
      <c r="CA137" s="14">
        <f t="shared" si="147"/>
        <v>8.0934058173791862E-13</v>
      </c>
      <c r="CB137" s="22">
        <f t="shared" si="118"/>
        <v>1.4960899118586383E-12</v>
      </c>
      <c r="CC137" s="62">
        <f t="shared" si="119"/>
        <v>293.33333333333479</v>
      </c>
      <c r="CD137" s="62">
        <f ca="1">AVERAGE(OFFSET($CC$3,0,0,'Données projet'!$E$12+1,1))-AVERAGE(OFFSET($H$3,0,0,'Données projet'!$E$12+1,1))</f>
        <v>304.32767345253382</v>
      </c>
      <c r="CE137" s="62">
        <f t="shared" si="148"/>
        <v>427.16091343339173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-5.6843418860808015E-14</v>
      </c>
      <c r="CU137" s="18">
        <f>CT137*VLOOKUP('Données projet'!$B$13,Paramètres!$A$1:$I$89,3,0)*VLOOKUP('Données projet'!$B$13,Paramètres!$A$1:$I$89,5,0)</f>
        <v>-5.1431925385259088E-14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350.06545824795847</v>
      </c>
      <c r="CZ137" s="62">
        <f t="shared" si="150"/>
        <v>513.80016421153414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-1.1368683772161603E-13</v>
      </c>
      <c r="DP137" s="18">
        <f>DO137*VLOOKUP('Données projet'!$B$14,Paramètres!$A$1:$I$89,3,0)*VLOOKUP('Données projet'!$B$14,Paramètres!$A$1:$I$89,5,0)</f>
        <v>-9.0449248091317723E-14</v>
      </c>
      <c r="DQ137" s="14" t="e">
        <f t="shared" si="151"/>
        <v>#NUM!</v>
      </c>
      <c r="DR137" s="22" t="e">
        <f t="shared" si="124"/>
        <v>#NUM!</v>
      </c>
      <c r="DS137" s="62" t="e">
        <f t="shared" si="125"/>
        <v>#NUM!</v>
      </c>
      <c r="DT137" s="62">
        <f ca="1">AVERAGE(OFFSET($DS$3,0,0,'Données projet'!$E$14+1,1))-AVERAGE(OFFSET($H$3,0,0,'Données projet'!$E$14+1,1))</f>
        <v>382.14353215900121</v>
      </c>
      <c r="DU137" s="62">
        <f t="shared" si="152"/>
        <v>249.73945975250177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2.2793584014349044E-15</v>
      </c>
      <c r="ED137" s="24">
        <f t="shared" si="126"/>
        <v>2.2793584014349044E-15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-1.1368683772161603E-13</v>
      </c>
      <c r="O138" s="14">
        <f>N138*VLOOKUP('Données projet'!$B$9,Paramètres!$A$1:$I$89,3,0)*VLOOKUP('Données projet'!$B$9,Paramètres!$A$1:$I$89,5,0)</f>
        <v>-1.0286385077051818E-13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429.08375622925655</v>
      </c>
      <c r="T138" s="62">
        <f t="shared" si="142"/>
        <v>278.21741231699929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1.8329703407790315E-15</v>
      </c>
      <c r="AC138" s="24">
        <f t="shared" si="111"/>
        <v>1.8329703407790315E-15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-1.1368683772161603E-13</v>
      </c>
      <c r="AJ138" s="14">
        <f>AI138*VLOOKUP('Données projet'!$B$10,Paramètres!$A$1:$I$89,3,0)*VLOOKUP('Données projet'!$B$10,Paramètres!$A$1:$I$89,5,0)</f>
        <v>-1.0818439477588981E-13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449.16408464351673</v>
      </c>
      <c r="AO138" s="62">
        <f t="shared" si="144"/>
        <v>290.39826583283588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1.9277791515089825E-15</v>
      </c>
      <c r="AX138" s="23">
        <f t="shared" si="114"/>
        <v>1.9277791515089825E-15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-1.1368683772161603E-13</v>
      </c>
      <c r="BE138" s="14">
        <f>BD138*VLOOKUP('Données projet'!$B$11,Paramètres!$A$1:$I$89,3,0)*VLOOKUP('Données projet'!$B$11,Paramètres!$A$1:$I$89,5,0)</f>
        <v>-1.0995790944434703E-13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455.85294519779609</v>
      </c>
      <c r="BJ138" s="62">
        <f t="shared" si="146"/>
        <v>294.45557293177131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1.9593820884189653E-15</v>
      </c>
      <c r="BS138" s="24">
        <f t="shared" si="117"/>
        <v>1.9593820884189653E-15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5.6843418860808015E-14</v>
      </c>
      <c r="BZ138" s="14">
        <f>BY138*VLOOKUP('Données projet'!$B$12,Paramètres!$A$1:$I$89,3,0)*VLOOKUP('Données projet'!$B$12,Paramètres!$A$1:$I$89,5,0)</f>
        <v>4.9658410716801891E-14</v>
      </c>
      <c r="CA138" s="14">
        <f t="shared" si="147"/>
        <v>8.0934058173791862E-13</v>
      </c>
      <c r="CB138" s="22">
        <f t="shared" si="118"/>
        <v>1.4960899118586383E-12</v>
      </c>
      <c r="CC138" s="62">
        <f t="shared" si="119"/>
        <v>293.33333333333479</v>
      </c>
      <c r="CD138" s="62">
        <f ca="1">AVERAGE(OFFSET($CC$3,0,0,'Données projet'!$E$12+1,1))-AVERAGE(OFFSET($H$3,0,0,'Données projet'!$E$12+1,1))</f>
        <v>304.32767345253382</v>
      </c>
      <c r="CE138" s="62">
        <f t="shared" si="148"/>
        <v>427.16091343339173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-5.6843418860808015E-14</v>
      </c>
      <c r="CU138" s="18">
        <f>CT138*VLOOKUP('Données projet'!$B$13,Paramètres!$A$1:$I$89,3,0)*VLOOKUP('Données projet'!$B$13,Paramètres!$A$1:$I$89,5,0)</f>
        <v>-5.1431925385259088E-14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350.06545824795847</v>
      </c>
      <c r="CZ138" s="62">
        <f t="shared" si="150"/>
        <v>513.80016421153414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-1.1368683772161603E-13</v>
      </c>
      <c r="DP138" s="18">
        <f>DO138*VLOOKUP('Données projet'!$B$14,Paramètres!$A$1:$I$89,3,0)*VLOOKUP('Données projet'!$B$14,Paramètres!$A$1:$I$89,5,0)</f>
        <v>-9.0449248091317723E-14</v>
      </c>
      <c r="DQ138" s="14" t="e">
        <f t="shared" si="151"/>
        <v>#NUM!</v>
      </c>
      <c r="DR138" s="22" t="e">
        <f t="shared" si="124"/>
        <v>#NUM!</v>
      </c>
      <c r="DS138" s="62" t="e">
        <f t="shared" si="125"/>
        <v>#NUM!</v>
      </c>
      <c r="DT138" s="62">
        <f ca="1">AVERAGE(OFFSET($DS$3,0,0,'Données projet'!$E$14+1,1))-AVERAGE(OFFSET($H$3,0,0,'Données projet'!$E$14+1,1))</f>
        <v>382.14353215900121</v>
      </c>
      <c r="DU138" s="62">
        <f t="shared" si="152"/>
        <v>249.73945975250177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1.6117497824091497E-15</v>
      </c>
      <c r="ED138" s="24">
        <f t="shared" si="126"/>
        <v>1.6117497824091497E-15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-1.1368683772161603E-13</v>
      </c>
      <c r="O139" s="14">
        <f>N139*VLOOKUP('Données projet'!$B$9,Paramètres!$A$1:$I$89,3,0)*VLOOKUP('Données projet'!$B$9,Paramètres!$A$1:$I$89,5,0)</f>
        <v>-1.0286385077051818E-13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429.08375622925655</v>
      </c>
      <c r="T139" s="62">
        <f t="shared" si="142"/>
        <v>278.21741231699929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1.2961057576786701E-15</v>
      </c>
      <c r="AC139" s="24">
        <f t="shared" si="111"/>
        <v>1.2961057576786701E-15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-1.1368683772161603E-13</v>
      </c>
      <c r="AJ139" s="14">
        <f>AI139*VLOOKUP('Données projet'!$B$10,Paramètres!$A$1:$I$89,3,0)*VLOOKUP('Données projet'!$B$10,Paramètres!$A$1:$I$89,5,0)</f>
        <v>-1.0818439477588981E-13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449.16408464351673</v>
      </c>
      <c r="AO139" s="62">
        <f t="shared" si="144"/>
        <v>290.39826583283588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1.3631457106620504E-15</v>
      </c>
      <c r="AX139" s="23">
        <f t="shared" si="114"/>
        <v>1.3631457106620504E-15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-1.1368683772161603E-13</v>
      </c>
      <c r="BE139" s="14">
        <f>BD139*VLOOKUP('Données projet'!$B$11,Paramètres!$A$1:$I$89,3,0)*VLOOKUP('Données projet'!$B$11,Paramètres!$A$1:$I$89,5,0)</f>
        <v>-1.0995790944434703E-13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455.85294519779609</v>
      </c>
      <c r="BJ139" s="62">
        <f t="shared" si="146"/>
        <v>294.45557293177131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1.3854923616565098E-15</v>
      </c>
      <c r="BS139" s="24">
        <f t="shared" si="117"/>
        <v>1.3854923616565098E-15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5.6843418860808015E-14</v>
      </c>
      <c r="BZ139" s="14">
        <f>BY139*VLOOKUP('Données projet'!$B$12,Paramètres!$A$1:$I$89,3,0)*VLOOKUP('Données projet'!$B$12,Paramètres!$A$1:$I$89,5,0)</f>
        <v>4.9658410716801891E-14</v>
      </c>
      <c r="CA139" s="14">
        <f t="shared" si="147"/>
        <v>8.0934058173791862E-13</v>
      </c>
      <c r="CB139" s="22">
        <f t="shared" si="118"/>
        <v>1.4960899118586383E-12</v>
      </c>
      <c r="CC139" s="62">
        <f t="shared" si="119"/>
        <v>293.33333333333479</v>
      </c>
      <c r="CD139" s="62">
        <f ca="1">AVERAGE(OFFSET($CC$3,0,0,'Données projet'!$E$12+1,1))-AVERAGE(OFFSET($H$3,0,0,'Données projet'!$E$12+1,1))</f>
        <v>304.32767345253382</v>
      </c>
      <c r="CE139" s="62">
        <f t="shared" si="148"/>
        <v>427.16091343339173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-5.6843418860808015E-14</v>
      </c>
      <c r="CU139" s="18">
        <f>CT139*VLOOKUP('Données projet'!$B$13,Paramètres!$A$1:$I$89,3,0)*VLOOKUP('Données projet'!$B$13,Paramètres!$A$1:$I$89,5,0)</f>
        <v>-5.1431925385259088E-14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350.06545824795847</v>
      </c>
      <c r="CZ139" s="62">
        <f t="shared" si="150"/>
        <v>513.80016421153414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-1.1368683772161603E-13</v>
      </c>
      <c r="DP139" s="18">
        <f>DO139*VLOOKUP('Données projet'!$B$14,Paramètres!$A$1:$I$89,3,0)*VLOOKUP('Données projet'!$B$14,Paramètres!$A$1:$I$89,5,0)</f>
        <v>-9.0449248091317723E-14</v>
      </c>
      <c r="DQ139" s="14" t="e">
        <f t="shared" si="151"/>
        <v>#NUM!</v>
      </c>
      <c r="DR139" s="22" t="e">
        <f t="shared" si="124"/>
        <v>#NUM!</v>
      </c>
      <c r="DS139" s="62" t="e">
        <f t="shared" si="125"/>
        <v>#NUM!</v>
      </c>
      <c r="DT139" s="62">
        <f ca="1">AVERAGE(OFFSET($DS$3,0,0,'Données projet'!$E$14+1,1))-AVERAGE(OFFSET($H$3,0,0,'Données projet'!$E$14+1,1))</f>
        <v>382.14353215900121</v>
      </c>
      <c r="DU139" s="62">
        <f t="shared" si="152"/>
        <v>249.73945975250177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1.1396792007174522E-15</v>
      </c>
      <c r="ED139" s="24">
        <f t="shared" si="126"/>
        <v>1.1396792007174522E-15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-1.1368683772161603E-13</v>
      </c>
      <c r="O140" s="14">
        <f>N140*VLOOKUP('Données projet'!$B$9,Paramètres!$A$1:$I$89,3,0)*VLOOKUP('Données projet'!$B$9,Paramètres!$A$1:$I$89,5,0)</f>
        <v>-1.0286385077051818E-13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429.08375622925655</v>
      </c>
      <c r="T140" s="62">
        <f t="shared" si="142"/>
        <v>278.21741231699929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9.1648517038951576E-16</v>
      </c>
      <c r="AC140" s="24">
        <f t="shared" si="111"/>
        <v>9.1648517038951576E-16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-1.1368683772161603E-13</v>
      </c>
      <c r="AJ140" s="14">
        <f>AI140*VLOOKUP('Données projet'!$B$10,Paramètres!$A$1:$I$89,3,0)*VLOOKUP('Données projet'!$B$10,Paramètres!$A$1:$I$89,5,0)</f>
        <v>-1.0818439477588981E-13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449.16408464351673</v>
      </c>
      <c r="AO140" s="62">
        <f t="shared" si="144"/>
        <v>290.39826583283588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9.6388957575449127E-16</v>
      </c>
      <c r="AX140" s="23">
        <f t="shared" si="114"/>
        <v>9.6388957575449127E-16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-1.1368683772161603E-13</v>
      </c>
      <c r="BE140" s="14">
        <f>BD140*VLOOKUP('Données projet'!$B$11,Paramètres!$A$1:$I$89,3,0)*VLOOKUP('Données projet'!$B$11,Paramètres!$A$1:$I$89,5,0)</f>
        <v>-1.0995790944434703E-13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455.85294519779609</v>
      </c>
      <c r="BJ140" s="62">
        <f t="shared" si="146"/>
        <v>294.45557293177131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9.7969104420948264E-16</v>
      </c>
      <c r="BS140" s="24">
        <f t="shared" si="117"/>
        <v>9.7969104420948264E-16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5.6843418860808015E-14</v>
      </c>
      <c r="BZ140" s="14">
        <f>BY140*VLOOKUP('Données projet'!$B$12,Paramètres!$A$1:$I$89,3,0)*VLOOKUP('Données projet'!$B$12,Paramètres!$A$1:$I$89,5,0)</f>
        <v>4.9658410716801891E-14</v>
      </c>
      <c r="CA140" s="14">
        <f t="shared" si="147"/>
        <v>8.0934058173791862E-13</v>
      </c>
      <c r="CB140" s="22">
        <f t="shared" si="118"/>
        <v>1.4960899118586383E-12</v>
      </c>
      <c r="CC140" s="62">
        <f t="shared" si="119"/>
        <v>293.33333333333479</v>
      </c>
      <c r="CD140" s="62">
        <f ca="1">AVERAGE(OFFSET($CC$3,0,0,'Données projet'!$E$12+1,1))-AVERAGE(OFFSET($H$3,0,0,'Données projet'!$E$12+1,1))</f>
        <v>304.32767345253382</v>
      </c>
      <c r="CE140" s="62">
        <f t="shared" si="148"/>
        <v>427.16091343339173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-5.6843418860808015E-14</v>
      </c>
      <c r="CU140" s="18">
        <f>CT140*VLOOKUP('Données projet'!$B$13,Paramètres!$A$1:$I$89,3,0)*VLOOKUP('Données projet'!$B$13,Paramètres!$A$1:$I$89,5,0)</f>
        <v>-5.1431925385259088E-14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350.06545824795847</v>
      </c>
      <c r="CZ140" s="62">
        <f t="shared" si="150"/>
        <v>513.80016421153414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-1.1368683772161603E-13</v>
      </c>
      <c r="DP140" s="18">
        <f>DO140*VLOOKUP('Données projet'!$B$14,Paramètres!$A$1:$I$89,3,0)*VLOOKUP('Données projet'!$B$14,Paramètres!$A$1:$I$89,5,0)</f>
        <v>-9.0449248091317723E-14</v>
      </c>
      <c r="DQ140" s="14" t="e">
        <f t="shared" si="151"/>
        <v>#NUM!</v>
      </c>
      <c r="DR140" s="22" t="e">
        <f t="shared" si="124"/>
        <v>#NUM!</v>
      </c>
      <c r="DS140" s="62" t="e">
        <f t="shared" si="125"/>
        <v>#NUM!</v>
      </c>
      <c r="DT140" s="62">
        <f ca="1">AVERAGE(OFFSET($DS$3,0,0,'Données projet'!$E$14+1,1))-AVERAGE(OFFSET($H$3,0,0,'Données projet'!$E$14+1,1))</f>
        <v>382.14353215900121</v>
      </c>
      <c r="DU140" s="62">
        <f t="shared" si="152"/>
        <v>249.73945975250177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8.0587489120457485E-16</v>
      </c>
      <c r="ED140" s="24">
        <f t="shared" si="126"/>
        <v>8.0587489120457485E-16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-1.1368683772161603E-13</v>
      </c>
      <c r="O141" s="14">
        <f>N141*VLOOKUP('Données projet'!$B$9,Paramètres!$A$1:$I$89,3,0)*VLOOKUP('Données projet'!$B$9,Paramètres!$A$1:$I$89,5,0)</f>
        <v>-1.0286385077051818E-13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429.08375622925655</v>
      </c>
      <c r="T141" s="62">
        <f t="shared" si="142"/>
        <v>278.21741231699929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6.4805287883933507E-16</v>
      </c>
      <c r="AC141" s="24">
        <f t="shared" si="111"/>
        <v>6.4805287883933507E-16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-1.1368683772161603E-13</v>
      </c>
      <c r="AJ141" s="14">
        <f>AI141*VLOOKUP('Données projet'!$B$10,Paramètres!$A$1:$I$89,3,0)*VLOOKUP('Données projet'!$B$10,Paramètres!$A$1:$I$89,5,0)</f>
        <v>-1.0818439477588981E-13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449.16408464351673</v>
      </c>
      <c r="AO141" s="62">
        <f t="shared" si="144"/>
        <v>290.39826583283588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6.8157285533102519E-16</v>
      </c>
      <c r="AX141" s="23">
        <f t="shared" si="114"/>
        <v>6.8157285533102519E-16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-1.1368683772161603E-13</v>
      </c>
      <c r="BE141" s="14">
        <f>BD141*VLOOKUP('Données projet'!$B$11,Paramètres!$A$1:$I$89,3,0)*VLOOKUP('Données projet'!$B$11,Paramètres!$A$1:$I$89,5,0)</f>
        <v>-1.0995790944434703E-13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455.85294519779609</v>
      </c>
      <c r="BJ141" s="62">
        <f t="shared" si="146"/>
        <v>294.45557293177131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6.9274618082825491E-16</v>
      </c>
      <c r="BS141" s="24">
        <f t="shared" si="117"/>
        <v>6.9274618082825491E-16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5.6843418860808015E-14</v>
      </c>
      <c r="BZ141" s="14">
        <f>BY141*VLOOKUP('Données projet'!$B$12,Paramètres!$A$1:$I$89,3,0)*VLOOKUP('Données projet'!$B$12,Paramètres!$A$1:$I$89,5,0)</f>
        <v>4.9658410716801891E-14</v>
      </c>
      <c r="CA141" s="14">
        <f t="shared" si="147"/>
        <v>8.0934058173791862E-13</v>
      </c>
      <c r="CB141" s="22">
        <f t="shared" si="118"/>
        <v>1.4960899118586383E-12</v>
      </c>
      <c r="CC141" s="62">
        <f t="shared" si="119"/>
        <v>293.33333333333479</v>
      </c>
      <c r="CD141" s="62">
        <f ca="1">AVERAGE(OFFSET($CC$3,0,0,'Données projet'!$E$12+1,1))-AVERAGE(OFFSET($H$3,0,0,'Données projet'!$E$12+1,1))</f>
        <v>304.32767345253382</v>
      </c>
      <c r="CE141" s="62">
        <f t="shared" si="148"/>
        <v>427.16091343339173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-5.6843418860808015E-14</v>
      </c>
      <c r="CU141" s="18">
        <f>CT141*VLOOKUP('Données projet'!$B$13,Paramètres!$A$1:$I$89,3,0)*VLOOKUP('Données projet'!$B$13,Paramètres!$A$1:$I$89,5,0)</f>
        <v>-5.1431925385259088E-14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350.06545824795847</v>
      </c>
      <c r="CZ141" s="62">
        <f t="shared" si="150"/>
        <v>513.80016421153414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-1.1368683772161603E-13</v>
      </c>
      <c r="DP141" s="18">
        <f>DO141*VLOOKUP('Données projet'!$B$14,Paramètres!$A$1:$I$89,3,0)*VLOOKUP('Données projet'!$B$14,Paramètres!$A$1:$I$89,5,0)</f>
        <v>-9.0449248091317723E-14</v>
      </c>
      <c r="DQ141" s="14" t="e">
        <f t="shared" si="151"/>
        <v>#NUM!</v>
      </c>
      <c r="DR141" s="22" t="e">
        <f t="shared" si="124"/>
        <v>#NUM!</v>
      </c>
      <c r="DS141" s="62" t="e">
        <f t="shared" si="125"/>
        <v>#NUM!</v>
      </c>
      <c r="DT141" s="62">
        <f ca="1">AVERAGE(OFFSET($DS$3,0,0,'Données projet'!$E$14+1,1))-AVERAGE(OFFSET($H$3,0,0,'Données projet'!$E$14+1,1))</f>
        <v>382.14353215900121</v>
      </c>
      <c r="DU141" s="62">
        <f t="shared" si="152"/>
        <v>249.73945975250177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5.6983960035872609E-16</v>
      </c>
      <c r="ED141" s="24">
        <f t="shared" si="126"/>
        <v>5.6983960035872609E-16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-1.1368683772161603E-13</v>
      </c>
      <c r="O142" s="14">
        <f>N142*VLOOKUP('Données projet'!$B$9,Paramètres!$A$1:$I$89,3,0)*VLOOKUP('Données projet'!$B$9,Paramètres!$A$1:$I$89,5,0)</f>
        <v>-1.0286385077051818E-13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429.08375622925655</v>
      </c>
      <c r="T142" s="62">
        <f t="shared" si="142"/>
        <v>278.21741231699929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4.5824258519475788E-16</v>
      </c>
      <c r="AC142" s="24">
        <f t="shared" si="111"/>
        <v>4.5824258519475788E-16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-1.1368683772161603E-13</v>
      </c>
      <c r="AJ142" s="14">
        <f>AI142*VLOOKUP('Données projet'!$B$10,Paramètres!$A$1:$I$89,3,0)*VLOOKUP('Données projet'!$B$10,Paramètres!$A$1:$I$89,5,0)</f>
        <v>-1.0818439477588981E-13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449.16408464351673</v>
      </c>
      <c r="AO142" s="62">
        <f t="shared" si="144"/>
        <v>290.39826583283588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4.8194478787724563E-16</v>
      </c>
      <c r="AX142" s="23">
        <f t="shared" si="114"/>
        <v>4.8194478787724563E-16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-1.1368683772161603E-13</v>
      </c>
      <c r="BE142" s="14">
        <f>BD142*VLOOKUP('Données projet'!$B$11,Paramètres!$A$1:$I$89,3,0)*VLOOKUP('Données projet'!$B$11,Paramètres!$A$1:$I$89,5,0)</f>
        <v>-1.0995790944434703E-13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455.85294519779609</v>
      </c>
      <c r="BJ142" s="62">
        <f t="shared" si="146"/>
        <v>294.45557293177131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4.8984552210474132E-16</v>
      </c>
      <c r="BS142" s="24">
        <f t="shared" si="117"/>
        <v>4.8984552210474132E-16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5.6843418860808015E-14</v>
      </c>
      <c r="BZ142" s="14">
        <f>BY142*VLOOKUP('Données projet'!$B$12,Paramètres!$A$1:$I$89,3,0)*VLOOKUP('Données projet'!$B$12,Paramètres!$A$1:$I$89,5,0)</f>
        <v>4.9658410716801891E-14</v>
      </c>
      <c r="CA142" s="14">
        <f t="shared" si="147"/>
        <v>8.0934058173791862E-13</v>
      </c>
      <c r="CB142" s="22">
        <f t="shared" si="118"/>
        <v>1.4960899118586383E-12</v>
      </c>
      <c r="CC142" s="62">
        <f t="shared" si="119"/>
        <v>293.33333333333479</v>
      </c>
      <c r="CD142" s="62">
        <f ca="1">AVERAGE(OFFSET($CC$3,0,0,'Données projet'!$E$12+1,1))-AVERAGE(OFFSET($H$3,0,0,'Données projet'!$E$12+1,1))</f>
        <v>304.32767345253382</v>
      </c>
      <c r="CE142" s="62">
        <f t="shared" si="148"/>
        <v>427.16091343339173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-5.6843418860808015E-14</v>
      </c>
      <c r="CU142" s="18">
        <f>CT142*VLOOKUP('Données projet'!$B$13,Paramètres!$A$1:$I$89,3,0)*VLOOKUP('Données projet'!$B$13,Paramètres!$A$1:$I$89,5,0)</f>
        <v>-5.1431925385259088E-14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350.06545824795847</v>
      </c>
      <c r="CZ142" s="62">
        <f t="shared" si="150"/>
        <v>513.80016421153414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-1.1368683772161603E-13</v>
      </c>
      <c r="DP142" s="18">
        <f>DO142*VLOOKUP('Données projet'!$B$14,Paramètres!$A$1:$I$89,3,0)*VLOOKUP('Données projet'!$B$14,Paramètres!$A$1:$I$89,5,0)</f>
        <v>-9.0449248091317723E-14</v>
      </c>
      <c r="DQ142" s="14" t="e">
        <f t="shared" si="151"/>
        <v>#NUM!</v>
      </c>
      <c r="DR142" s="22" t="e">
        <f t="shared" si="124"/>
        <v>#NUM!</v>
      </c>
      <c r="DS142" s="62" t="e">
        <f t="shared" si="125"/>
        <v>#NUM!</v>
      </c>
      <c r="DT142" s="62">
        <f ca="1">AVERAGE(OFFSET($DS$3,0,0,'Données projet'!$E$14+1,1))-AVERAGE(OFFSET($H$3,0,0,'Données projet'!$E$14+1,1))</f>
        <v>382.14353215900121</v>
      </c>
      <c r="DU142" s="62">
        <f t="shared" si="152"/>
        <v>249.73945975250177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4.0293744560228742E-16</v>
      </c>
      <c r="ED142" s="24">
        <f t="shared" si="126"/>
        <v>4.0293744560228742E-16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-1.1368683772161603E-13</v>
      </c>
      <c r="O143" s="14">
        <f>N143*VLOOKUP('Données projet'!$B$9,Paramètres!$A$1:$I$89,3,0)*VLOOKUP('Données projet'!$B$9,Paramètres!$A$1:$I$89,5,0)</f>
        <v>-1.0286385077051818E-13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429.08375622925655</v>
      </c>
      <c r="T143" s="62">
        <f t="shared" si="142"/>
        <v>278.21741231699929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3.2402643941966753E-16</v>
      </c>
      <c r="AC143" s="24">
        <f t="shared" si="111"/>
        <v>3.2402643941966753E-16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-1.1368683772161603E-13</v>
      </c>
      <c r="AJ143" s="14">
        <f>AI143*VLOOKUP('Données projet'!$B$10,Paramètres!$A$1:$I$89,3,0)*VLOOKUP('Données projet'!$B$10,Paramètres!$A$1:$I$89,5,0)</f>
        <v>-1.0818439477588981E-13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449.16408464351673</v>
      </c>
      <c r="AO143" s="62">
        <f t="shared" si="144"/>
        <v>290.39826583283588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3.407864276655126E-16</v>
      </c>
      <c r="AX143" s="23">
        <f t="shared" si="114"/>
        <v>3.407864276655126E-16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-1.1368683772161603E-13</v>
      </c>
      <c r="BE143" s="14">
        <f>BD143*VLOOKUP('Données projet'!$B$11,Paramètres!$A$1:$I$89,3,0)*VLOOKUP('Données projet'!$B$11,Paramètres!$A$1:$I$89,5,0)</f>
        <v>-1.0995790944434703E-13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455.85294519779609</v>
      </c>
      <c r="BJ143" s="62">
        <f t="shared" si="146"/>
        <v>294.45557293177131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3.4637309041412745E-16</v>
      </c>
      <c r="BS143" s="24">
        <f t="shared" si="117"/>
        <v>3.4637309041412745E-16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5.6843418860808015E-14</v>
      </c>
      <c r="BZ143" s="14">
        <f>BY143*VLOOKUP('Données projet'!$B$12,Paramètres!$A$1:$I$89,3,0)*VLOOKUP('Données projet'!$B$12,Paramètres!$A$1:$I$89,5,0)</f>
        <v>4.9658410716801891E-14</v>
      </c>
      <c r="CA143" s="14">
        <f t="shared" si="147"/>
        <v>8.0934058173791862E-13</v>
      </c>
      <c r="CB143" s="22">
        <f t="shared" si="118"/>
        <v>1.4960899118586383E-12</v>
      </c>
      <c r="CC143" s="62">
        <f t="shared" si="119"/>
        <v>293.33333333333479</v>
      </c>
      <c r="CD143" s="62">
        <f ca="1">AVERAGE(OFFSET($CC$3,0,0,'Données projet'!$E$12+1,1))-AVERAGE(OFFSET($H$3,0,0,'Données projet'!$E$12+1,1))</f>
        <v>304.32767345253382</v>
      </c>
      <c r="CE143" s="62">
        <f t="shared" si="148"/>
        <v>427.16091343339173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-5.6843418860808015E-14</v>
      </c>
      <c r="CU143" s="18">
        <f>CT143*VLOOKUP('Données projet'!$B$13,Paramètres!$A$1:$I$89,3,0)*VLOOKUP('Données projet'!$B$13,Paramètres!$A$1:$I$89,5,0)</f>
        <v>-5.1431925385259088E-14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350.06545824795847</v>
      </c>
      <c r="CZ143" s="62">
        <f t="shared" si="150"/>
        <v>513.80016421153414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-1.1368683772161603E-13</v>
      </c>
      <c r="DP143" s="18">
        <f>DO143*VLOOKUP('Données projet'!$B$14,Paramètres!$A$1:$I$89,3,0)*VLOOKUP('Données projet'!$B$14,Paramètres!$A$1:$I$89,5,0)</f>
        <v>-9.0449248091317723E-14</v>
      </c>
      <c r="DQ143" s="14" t="e">
        <f t="shared" si="151"/>
        <v>#NUM!</v>
      </c>
      <c r="DR143" s="22" t="e">
        <f t="shared" si="124"/>
        <v>#NUM!</v>
      </c>
      <c r="DS143" s="62" t="e">
        <f t="shared" si="125"/>
        <v>#NUM!</v>
      </c>
      <c r="DT143" s="62">
        <f ca="1">AVERAGE(OFFSET($DS$3,0,0,'Données projet'!$E$14+1,1))-AVERAGE(OFFSET($H$3,0,0,'Données projet'!$E$14+1,1))</f>
        <v>382.14353215900121</v>
      </c>
      <c r="DU143" s="62">
        <f t="shared" si="152"/>
        <v>249.73945975250177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2.8491980017936305E-16</v>
      </c>
      <c r="ED143" s="24">
        <f t="shared" si="126"/>
        <v>2.8491980017936305E-16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-1.1368683772161603E-13</v>
      </c>
      <c r="O144" s="14">
        <f>N144*VLOOKUP('Données projet'!$B$9,Paramètres!$A$1:$I$89,3,0)*VLOOKUP('Données projet'!$B$9,Paramètres!$A$1:$I$89,5,0)</f>
        <v>-1.0286385077051818E-13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429.08375622925655</v>
      </c>
      <c r="T144" s="62">
        <f t="shared" si="142"/>
        <v>278.21741231699929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2.2912129259737894E-16</v>
      </c>
      <c r="AC144" s="24">
        <f t="shared" si="111"/>
        <v>2.2912129259737894E-16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-1.1368683772161603E-13</v>
      </c>
      <c r="AJ144" s="14">
        <f>AI144*VLOOKUP('Données projet'!$B$10,Paramètres!$A$1:$I$89,3,0)*VLOOKUP('Données projet'!$B$10,Paramètres!$A$1:$I$89,5,0)</f>
        <v>-1.0818439477588981E-13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449.16408464351673</v>
      </c>
      <c r="AO144" s="62">
        <f t="shared" si="144"/>
        <v>290.39826583283588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2.4097239393862282E-16</v>
      </c>
      <c r="AX144" s="23">
        <f t="shared" si="114"/>
        <v>2.4097239393862282E-16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-1.1368683772161603E-13</v>
      </c>
      <c r="BE144" s="14">
        <f>BD144*VLOOKUP('Données projet'!$B$11,Paramètres!$A$1:$I$89,3,0)*VLOOKUP('Données projet'!$B$11,Paramètres!$A$1:$I$89,5,0)</f>
        <v>-1.0995790944434703E-13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455.85294519779609</v>
      </c>
      <c r="BJ144" s="62">
        <f t="shared" si="146"/>
        <v>294.45557293177131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2.4492276105237066E-16</v>
      </c>
      <c r="BS144" s="24">
        <f t="shared" si="117"/>
        <v>2.4492276105237066E-16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5.6843418860808015E-14</v>
      </c>
      <c r="BZ144" s="14">
        <f>BY144*VLOOKUP('Données projet'!$B$12,Paramètres!$A$1:$I$89,3,0)*VLOOKUP('Données projet'!$B$12,Paramètres!$A$1:$I$89,5,0)</f>
        <v>4.9658410716801891E-14</v>
      </c>
      <c r="CA144" s="14">
        <f t="shared" si="147"/>
        <v>8.0934058173791862E-13</v>
      </c>
      <c r="CB144" s="22">
        <f t="shared" si="118"/>
        <v>1.4960899118586383E-12</v>
      </c>
      <c r="CC144" s="62">
        <f t="shared" si="119"/>
        <v>293.33333333333479</v>
      </c>
      <c r="CD144" s="62">
        <f ca="1">AVERAGE(OFFSET($CC$3,0,0,'Données projet'!$E$12+1,1))-AVERAGE(OFFSET($H$3,0,0,'Données projet'!$E$12+1,1))</f>
        <v>304.32767345253382</v>
      </c>
      <c r="CE144" s="62">
        <f t="shared" si="148"/>
        <v>427.16091343339173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-5.6843418860808015E-14</v>
      </c>
      <c r="CU144" s="18">
        <f>CT144*VLOOKUP('Données projet'!$B$13,Paramètres!$A$1:$I$89,3,0)*VLOOKUP('Données projet'!$B$13,Paramètres!$A$1:$I$89,5,0)</f>
        <v>-5.1431925385259088E-14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350.06545824795847</v>
      </c>
      <c r="CZ144" s="62">
        <f t="shared" si="150"/>
        <v>513.80016421153414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-1.1368683772161603E-13</v>
      </c>
      <c r="DP144" s="18">
        <f>DO144*VLOOKUP('Données projet'!$B$14,Paramètres!$A$1:$I$89,3,0)*VLOOKUP('Données projet'!$B$14,Paramètres!$A$1:$I$89,5,0)</f>
        <v>-9.0449248091317723E-14</v>
      </c>
      <c r="DQ144" s="14" t="e">
        <f t="shared" si="151"/>
        <v>#NUM!</v>
      </c>
      <c r="DR144" s="22" t="e">
        <f t="shared" si="124"/>
        <v>#NUM!</v>
      </c>
      <c r="DS144" s="62" t="e">
        <f t="shared" si="125"/>
        <v>#NUM!</v>
      </c>
      <c r="DT144" s="62">
        <f ca="1">AVERAGE(OFFSET($DS$3,0,0,'Données projet'!$E$14+1,1))-AVERAGE(OFFSET($H$3,0,0,'Données projet'!$E$14+1,1))</f>
        <v>382.14353215900121</v>
      </c>
      <c r="DU144" s="62">
        <f t="shared" si="152"/>
        <v>249.73945975250177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2.0146872280114371E-16</v>
      </c>
      <c r="ED144" s="24">
        <f t="shared" si="126"/>
        <v>2.0146872280114371E-16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-1.1368683772161603E-13</v>
      </c>
      <c r="O145" s="14">
        <f>N145*VLOOKUP('Données projet'!$B$9,Paramètres!$A$1:$I$89,3,0)*VLOOKUP('Données projet'!$B$9,Paramètres!$A$1:$I$89,5,0)</f>
        <v>-1.0286385077051818E-13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429.08375622925655</v>
      </c>
      <c r="T145" s="62">
        <f t="shared" si="142"/>
        <v>278.21741231699929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1.6201321970983377E-16</v>
      </c>
      <c r="AC145" s="24">
        <f t="shared" si="111"/>
        <v>1.6201321970983377E-16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-1.1368683772161603E-13</v>
      </c>
      <c r="AJ145" s="14">
        <f>AI145*VLOOKUP('Données projet'!$B$10,Paramètres!$A$1:$I$89,3,0)*VLOOKUP('Données projet'!$B$10,Paramètres!$A$1:$I$89,5,0)</f>
        <v>-1.0818439477588981E-13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449.16408464351673</v>
      </c>
      <c r="AO145" s="62">
        <f t="shared" si="144"/>
        <v>290.39826583283588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1.703932138327563E-16</v>
      </c>
      <c r="AX145" s="23">
        <f t="shared" si="114"/>
        <v>1.703932138327563E-16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-1.1368683772161603E-13</v>
      </c>
      <c r="BE145" s="14">
        <f>BD145*VLOOKUP('Données projet'!$B$11,Paramètres!$A$1:$I$89,3,0)*VLOOKUP('Données projet'!$B$11,Paramètres!$A$1:$I$89,5,0)</f>
        <v>-1.0995790944434703E-13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455.85294519779609</v>
      </c>
      <c r="BJ145" s="62">
        <f t="shared" si="146"/>
        <v>294.45557293177131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1.7318654520706373E-16</v>
      </c>
      <c r="BS145" s="24">
        <f t="shared" si="117"/>
        <v>1.7318654520706373E-16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5.6843418860808015E-14</v>
      </c>
      <c r="BZ145" s="14">
        <f>BY145*VLOOKUP('Données projet'!$B$12,Paramètres!$A$1:$I$89,3,0)*VLOOKUP('Données projet'!$B$12,Paramètres!$A$1:$I$89,5,0)</f>
        <v>4.9658410716801891E-14</v>
      </c>
      <c r="CA145" s="14">
        <f t="shared" si="147"/>
        <v>8.0934058173791862E-13</v>
      </c>
      <c r="CB145" s="22">
        <f t="shared" si="118"/>
        <v>1.4960899118586383E-12</v>
      </c>
      <c r="CC145" s="62">
        <f t="shared" si="119"/>
        <v>293.33333333333479</v>
      </c>
      <c r="CD145" s="62">
        <f ca="1">AVERAGE(OFFSET($CC$3,0,0,'Données projet'!$E$12+1,1))-AVERAGE(OFFSET($H$3,0,0,'Données projet'!$E$12+1,1))</f>
        <v>304.32767345253382</v>
      </c>
      <c r="CE145" s="62">
        <f t="shared" si="148"/>
        <v>427.16091343339173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-5.6843418860808015E-14</v>
      </c>
      <c r="CU145" s="18">
        <f>CT145*VLOOKUP('Données projet'!$B$13,Paramètres!$A$1:$I$89,3,0)*VLOOKUP('Données projet'!$B$13,Paramètres!$A$1:$I$89,5,0)</f>
        <v>-5.1431925385259088E-14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350.06545824795847</v>
      </c>
      <c r="CZ145" s="62">
        <f t="shared" si="150"/>
        <v>513.80016421153414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-1.1368683772161603E-13</v>
      </c>
      <c r="DP145" s="18">
        <f>DO145*VLOOKUP('Données projet'!$B$14,Paramètres!$A$1:$I$89,3,0)*VLOOKUP('Données projet'!$B$14,Paramètres!$A$1:$I$89,5,0)</f>
        <v>-9.0449248091317723E-14</v>
      </c>
      <c r="DQ145" s="14" t="e">
        <f t="shared" si="151"/>
        <v>#NUM!</v>
      </c>
      <c r="DR145" s="22" t="e">
        <f t="shared" si="124"/>
        <v>#NUM!</v>
      </c>
      <c r="DS145" s="62" t="e">
        <f t="shared" si="125"/>
        <v>#NUM!</v>
      </c>
      <c r="DT145" s="62">
        <f ca="1">AVERAGE(OFFSET($DS$3,0,0,'Données projet'!$E$14+1,1))-AVERAGE(OFFSET($H$3,0,0,'Données projet'!$E$14+1,1))</f>
        <v>382.14353215900121</v>
      </c>
      <c r="DU145" s="62">
        <f t="shared" si="152"/>
        <v>249.73945975250177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1.4245990008968152E-16</v>
      </c>
      <c r="ED145" s="24">
        <f t="shared" si="126"/>
        <v>1.4245990008968152E-16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-1.1368683772161603E-13</v>
      </c>
      <c r="O146" s="14">
        <f>N146*VLOOKUP('Données projet'!$B$9,Paramètres!$A$1:$I$89,3,0)*VLOOKUP('Données projet'!$B$9,Paramètres!$A$1:$I$89,5,0)</f>
        <v>-1.0286385077051818E-13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429.08375622925655</v>
      </c>
      <c r="T146" s="62">
        <f t="shared" si="142"/>
        <v>278.21741231699929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1.1456064629868947E-16</v>
      </c>
      <c r="AC146" s="24">
        <f t="shared" si="111"/>
        <v>1.1456064629868947E-16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-1.1368683772161603E-13</v>
      </c>
      <c r="AJ146" s="14">
        <f>AI146*VLOOKUP('Données projet'!$B$10,Paramètres!$A$1:$I$89,3,0)*VLOOKUP('Données projet'!$B$10,Paramètres!$A$1:$I$89,5,0)</f>
        <v>-1.0818439477588981E-13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449.16408464351673</v>
      </c>
      <c r="AO146" s="62">
        <f t="shared" si="144"/>
        <v>290.39826583283588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1.2048619696931141E-16</v>
      </c>
      <c r="AX146" s="23">
        <f t="shared" si="114"/>
        <v>1.2048619696931141E-16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-1.1368683772161603E-13</v>
      </c>
      <c r="BE146" s="14">
        <f>BD146*VLOOKUP('Données projet'!$B$11,Paramètres!$A$1:$I$89,3,0)*VLOOKUP('Données projet'!$B$11,Paramètres!$A$1:$I$89,5,0)</f>
        <v>-1.0995790944434703E-13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455.85294519779609</v>
      </c>
      <c r="BJ146" s="62">
        <f t="shared" si="146"/>
        <v>294.45557293177131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1.2246138052618533E-16</v>
      </c>
      <c r="BS146" s="24">
        <f t="shared" si="117"/>
        <v>1.2246138052618533E-16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5.6843418860808015E-14</v>
      </c>
      <c r="BZ146" s="14">
        <f>BY146*VLOOKUP('Données projet'!$B$12,Paramètres!$A$1:$I$89,3,0)*VLOOKUP('Données projet'!$B$12,Paramètres!$A$1:$I$89,5,0)</f>
        <v>4.9658410716801891E-14</v>
      </c>
      <c r="CA146" s="14">
        <f t="shared" si="147"/>
        <v>8.0934058173791862E-13</v>
      </c>
      <c r="CB146" s="22">
        <f t="shared" si="118"/>
        <v>1.4960899118586383E-12</v>
      </c>
      <c r="CC146" s="62">
        <f t="shared" si="119"/>
        <v>293.33333333333479</v>
      </c>
      <c r="CD146" s="62">
        <f ca="1">AVERAGE(OFFSET($CC$3,0,0,'Données projet'!$E$12+1,1))-AVERAGE(OFFSET($H$3,0,0,'Données projet'!$E$12+1,1))</f>
        <v>304.32767345253382</v>
      </c>
      <c r="CE146" s="62">
        <f t="shared" si="148"/>
        <v>427.16091343339173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-5.6843418860808015E-14</v>
      </c>
      <c r="CU146" s="18">
        <f>CT146*VLOOKUP('Données projet'!$B$13,Paramètres!$A$1:$I$89,3,0)*VLOOKUP('Données projet'!$B$13,Paramètres!$A$1:$I$89,5,0)</f>
        <v>-5.1431925385259088E-14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350.06545824795847</v>
      </c>
      <c r="CZ146" s="62">
        <f t="shared" si="150"/>
        <v>513.80016421153414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-1.1368683772161603E-13</v>
      </c>
      <c r="DP146" s="18">
        <f>DO146*VLOOKUP('Données projet'!$B$14,Paramètres!$A$1:$I$89,3,0)*VLOOKUP('Données projet'!$B$14,Paramètres!$A$1:$I$89,5,0)</f>
        <v>-9.0449248091317723E-14</v>
      </c>
      <c r="DQ146" s="14" t="e">
        <f t="shared" si="151"/>
        <v>#NUM!</v>
      </c>
      <c r="DR146" s="22" t="e">
        <f t="shared" si="124"/>
        <v>#NUM!</v>
      </c>
      <c r="DS146" s="62" t="e">
        <f t="shared" si="125"/>
        <v>#NUM!</v>
      </c>
      <c r="DT146" s="62">
        <f ca="1">AVERAGE(OFFSET($DS$3,0,0,'Données projet'!$E$14+1,1))-AVERAGE(OFFSET($H$3,0,0,'Données projet'!$E$14+1,1))</f>
        <v>382.14353215900121</v>
      </c>
      <c r="DU146" s="62">
        <f t="shared" si="152"/>
        <v>249.73945975250177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1.0073436140057186E-16</v>
      </c>
      <c r="ED146" s="24">
        <f t="shared" si="126"/>
        <v>1.0073436140057186E-16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-1.1368683772161603E-13</v>
      </c>
      <c r="O147" s="14">
        <f>N147*VLOOKUP('Données projet'!$B$9,Paramètres!$A$1:$I$89,3,0)*VLOOKUP('Données projet'!$B$9,Paramètres!$A$1:$I$89,5,0)</f>
        <v>-1.0286385077051818E-13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429.08375622925655</v>
      </c>
      <c r="T147" s="62">
        <f t="shared" si="142"/>
        <v>278.21741231699929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8.1006609854916884E-17</v>
      </c>
      <c r="AC147" s="24">
        <f t="shared" si="111"/>
        <v>8.1006609854916884E-17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-1.1368683772161603E-13</v>
      </c>
      <c r="AJ147" s="14">
        <f>AI147*VLOOKUP('Données projet'!$B$10,Paramètres!$A$1:$I$89,3,0)*VLOOKUP('Données projet'!$B$10,Paramètres!$A$1:$I$89,5,0)</f>
        <v>-1.0818439477588981E-13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449.16408464351673</v>
      </c>
      <c r="AO147" s="62">
        <f t="shared" si="144"/>
        <v>290.39826583283588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8.5196606916378149E-17</v>
      </c>
      <c r="AX147" s="23">
        <f t="shared" si="114"/>
        <v>8.5196606916378149E-17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-1.1368683772161603E-13</v>
      </c>
      <c r="BE147" s="14">
        <f>BD147*VLOOKUP('Données projet'!$B$11,Paramètres!$A$1:$I$89,3,0)*VLOOKUP('Données projet'!$B$11,Paramètres!$A$1:$I$89,5,0)</f>
        <v>-1.0995790944434703E-13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455.85294519779609</v>
      </c>
      <c r="BJ147" s="62">
        <f t="shared" si="146"/>
        <v>294.45557293177131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8.6593272603531863E-17</v>
      </c>
      <c r="BS147" s="24">
        <f t="shared" si="117"/>
        <v>8.6593272603531863E-17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5.6843418860808015E-14</v>
      </c>
      <c r="BZ147" s="14">
        <f>BY147*VLOOKUP('Données projet'!$B$12,Paramètres!$A$1:$I$89,3,0)*VLOOKUP('Données projet'!$B$12,Paramètres!$A$1:$I$89,5,0)</f>
        <v>4.9658410716801891E-14</v>
      </c>
      <c r="CA147" s="14">
        <f t="shared" si="147"/>
        <v>8.0934058173791862E-13</v>
      </c>
      <c r="CB147" s="22">
        <f t="shared" si="118"/>
        <v>1.4960899118586383E-12</v>
      </c>
      <c r="CC147" s="62">
        <f t="shared" si="119"/>
        <v>293.33333333333479</v>
      </c>
      <c r="CD147" s="62">
        <f ca="1">AVERAGE(OFFSET($CC$3,0,0,'Données projet'!$E$12+1,1))-AVERAGE(OFFSET($H$3,0,0,'Données projet'!$E$12+1,1))</f>
        <v>304.32767345253382</v>
      </c>
      <c r="CE147" s="62">
        <f t="shared" si="148"/>
        <v>427.16091343339173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-5.6843418860808015E-14</v>
      </c>
      <c r="CU147" s="18">
        <f>CT147*VLOOKUP('Données projet'!$B$13,Paramètres!$A$1:$I$89,3,0)*VLOOKUP('Données projet'!$B$13,Paramètres!$A$1:$I$89,5,0)</f>
        <v>-5.1431925385259088E-14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350.06545824795847</v>
      </c>
      <c r="CZ147" s="62">
        <f t="shared" si="150"/>
        <v>513.80016421153414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-1.1368683772161603E-13</v>
      </c>
      <c r="DP147" s="18">
        <f>DO147*VLOOKUP('Données projet'!$B$14,Paramètres!$A$1:$I$89,3,0)*VLOOKUP('Données projet'!$B$14,Paramètres!$A$1:$I$89,5,0)</f>
        <v>-9.0449248091317723E-14</v>
      </c>
      <c r="DQ147" s="14" t="e">
        <f t="shared" si="151"/>
        <v>#NUM!</v>
      </c>
      <c r="DR147" s="22" t="e">
        <f t="shared" si="124"/>
        <v>#NUM!</v>
      </c>
      <c r="DS147" s="62" t="e">
        <f t="shared" si="125"/>
        <v>#NUM!</v>
      </c>
      <c r="DT147" s="62">
        <f ca="1">AVERAGE(OFFSET($DS$3,0,0,'Données projet'!$E$14+1,1))-AVERAGE(OFFSET($H$3,0,0,'Données projet'!$E$14+1,1))</f>
        <v>382.14353215900121</v>
      </c>
      <c r="DU147" s="62">
        <f t="shared" si="152"/>
        <v>249.73945975250177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7.1229950044840762E-17</v>
      </c>
      <c r="ED147" s="24">
        <f t="shared" si="126"/>
        <v>7.1229950044840762E-17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-1.1368683772161603E-13</v>
      </c>
      <c r="O148" s="14">
        <f>N148*VLOOKUP('Données projet'!$B$9,Paramètres!$A$1:$I$89,3,0)*VLOOKUP('Données projet'!$B$9,Paramètres!$A$1:$I$89,5,0)</f>
        <v>-1.0286385077051818E-13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429.08375622925655</v>
      </c>
      <c r="T148" s="62">
        <f t="shared" si="142"/>
        <v>278.21741231699929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5.7280323149344735E-17</v>
      </c>
      <c r="AC148" s="24">
        <f t="shared" si="111"/>
        <v>5.7280323149344735E-17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-1.1368683772161603E-13</v>
      </c>
      <c r="AJ148" s="14">
        <f>AI148*VLOOKUP('Données projet'!$B$10,Paramètres!$A$1:$I$89,3,0)*VLOOKUP('Données projet'!$B$10,Paramètres!$A$1:$I$89,5,0)</f>
        <v>-1.0818439477588981E-13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449.16408464351673</v>
      </c>
      <c r="AO148" s="62">
        <f t="shared" si="144"/>
        <v>290.39826583283588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6.0243098484655704E-17</v>
      </c>
      <c r="AX148" s="23">
        <f t="shared" si="114"/>
        <v>6.0243098484655704E-17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-1.1368683772161603E-13</v>
      </c>
      <c r="BE148" s="14">
        <f>BD148*VLOOKUP('Données projet'!$B$11,Paramètres!$A$1:$I$89,3,0)*VLOOKUP('Données projet'!$B$11,Paramètres!$A$1:$I$89,5,0)</f>
        <v>-1.0995790944434703E-13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455.85294519779609</v>
      </c>
      <c r="BJ148" s="62">
        <f t="shared" si="146"/>
        <v>294.45557293177131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6.1230690263092665E-17</v>
      </c>
      <c r="BS148" s="24">
        <f t="shared" si="117"/>
        <v>6.1230690263092665E-17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5.6843418860808015E-14</v>
      </c>
      <c r="BZ148" s="14">
        <f>BY148*VLOOKUP('Données projet'!$B$12,Paramètres!$A$1:$I$89,3,0)*VLOOKUP('Données projet'!$B$12,Paramètres!$A$1:$I$89,5,0)</f>
        <v>4.9658410716801891E-14</v>
      </c>
      <c r="CA148" s="14">
        <f t="shared" si="147"/>
        <v>8.0934058173791862E-13</v>
      </c>
      <c r="CB148" s="22">
        <f t="shared" si="118"/>
        <v>1.4960899118586383E-12</v>
      </c>
      <c r="CC148" s="62">
        <f t="shared" si="119"/>
        <v>293.33333333333479</v>
      </c>
      <c r="CD148" s="62">
        <f ca="1">AVERAGE(OFFSET($CC$3,0,0,'Données projet'!$E$12+1,1))-AVERAGE(OFFSET($H$3,0,0,'Données projet'!$E$12+1,1))</f>
        <v>304.32767345253382</v>
      </c>
      <c r="CE148" s="62">
        <f t="shared" si="148"/>
        <v>427.16091343339173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-5.6843418860808015E-14</v>
      </c>
      <c r="CU148" s="18">
        <f>CT148*VLOOKUP('Données projet'!$B$13,Paramètres!$A$1:$I$89,3,0)*VLOOKUP('Données projet'!$B$13,Paramètres!$A$1:$I$89,5,0)</f>
        <v>-5.1431925385259088E-14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350.06545824795847</v>
      </c>
      <c r="CZ148" s="62">
        <f t="shared" si="150"/>
        <v>513.80016421153414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-1.1368683772161603E-13</v>
      </c>
      <c r="DP148" s="18">
        <f>DO148*VLOOKUP('Données projet'!$B$14,Paramètres!$A$1:$I$89,3,0)*VLOOKUP('Données projet'!$B$14,Paramètres!$A$1:$I$89,5,0)</f>
        <v>-9.0449248091317723E-14</v>
      </c>
      <c r="DQ148" s="14" t="e">
        <f t="shared" si="151"/>
        <v>#NUM!</v>
      </c>
      <c r="DR148" s="22" t="e">
        <f t="shared" si="124"/>
        <v>#NUM!</v>
      </c>
      <c r="DS148" s="62" t="e">
        <f t="shared" si="125"/>
        <v>#NUM!</v>
      </c>
      <c r="DT148" s="62">
        <f ca="1">AVERAGE(OFFSET($DS$3,0,0,'Données projet'!$E$14+1,1))-AVERAGE(OFFSET($H$3,0,0,'Données projet'!$E$14+1,1))</f>
        <v>382.14353215900121</v>
      </c>
      <c r="DU148" s="62">
        <f t="shared" si="152"/>
        <v>249.73945975250177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5.0367180700285928E-17</v>
      </c>
      <c r="ED148" s="24">
        <f t="shared" si="126"/>
        <v>5.0367180700285928E-17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-1.1368683772161603E-13</v>
      </c>
      <c r="O149" s="14">
        <f>N149*VLOOKUP('Données projet'!$B$9,Paramètres!$A$1:$I$89,3,0)*VLOOKUP('Données projet'!$B$9,Paramètres!$A$1:$I$89,5,0)</f>
        <v>-1.0286385077051818E-13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429.08375622925655</v>
      </c>
      <c r="T149" s="62">
        <f t="shared" si="142"/>
        <v>278.21741231699929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4.0503304927458442E-17</v>
      </c>
      <c r="AC149" s="24">
        <f t="shared" si="111"/>
        <v>4.0503304927458442E-17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-1.1368683772161603E-13</v>
      </c>
      <c r="AJ149" s="14">
        <f>AI149*VLOOKUP('Données projet'!$B$10,Paramètres!$A$1:$I$89,3,0)*VLOOKUP('Données projet'!$B$10,Paramètres!$A$1:$I$89,5,0)</f>
        <v>-1.0818439477588981E-13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449.16408464351673</v>
      </c>
      <c r="AO149" s="62">
        <f t="shared" si="144"/>
        <v>290.39826583283588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4.2598303458189075E-17</v>
      </c>
      <c r="AX149" s="23">
        <f t="shared" si="114"/>
        <v>4.2598303458189075E-17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-1.1368683772161603E-13</v>
      </c>
      <c r="BE149" s="14">
        <f>BD149*VLOOKUP('Données projet'!$B$11,Paramètres!$A$1:$I$89,3,0)*VLOOKUP('Données projet'!$B$11,Paramètres!$A$1:$I$89,5,0)</f>
        <v>-1.0995790944434703E-13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455.85294519779609</v>
      </c>
      <c r="BJ149" s="62">
        <f t="shared" si="146"/>
        <v>294.45557293177131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4.3296636301765932E-17</v>
      </c>
      <c r="BS149" s="24">
        <f t="shared" si="117"/>
        <v>4.3296636301765932E-17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5.6843418860808015E-14</v>
      </c>
      <c r="BZ149" s="14">
        <f>BY149*VLOOKUP('Données projet'!$B$12,Paramètres!$A$1:$I$89,3,0)*VLOOKUP('Données projet'!$B$12,Paramètres!$A$1:$I$89,5,0)</f>
        <v>4.9658410716801891E-14</v>
      </c>
      <c r="CA149" s="14">
        <f t="shared" si="147"/>
        <v>8.0934058173791862E-13</v>
      </c>
      <c r="CB149" s="22">
        <f t="shared" si="118"/>
        <v>1.4960899118586383E-12</v>
      </c>
      <c r="CC149" s="62">
        <f t="shared" si="119"/>
        <v>293.33333333333479</v>
      </c>
      <c r="CD149" s="62">
        <f ca="1">AVERAGE(OFFSET($CC$3,0,0,'Données projet'!$E$12+1,1))-AVERAGE(OFFSET($H$3,0,0,'Données projet'!$E$12+1,1))</f>
        <v>304.32767345253382</v>
      </c>
      <c r="CE149" s="62">
        <f t="shared" si="148"/>
        <v>427.16091343339173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-5.6843418860808015E-14</v>
      </c>
      <c r="CU149" s="18">
        <f>CT149*VLOOKUP('Données projet'!$B$13,Paramètres!$A$1:$I$89,3,0)*VLOOKUP('Données projet'!$B$13,Paramètres!$A$1:$I$89,5,0)</f>
        <v>-5.1431925385259088E-14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350.06545824795847</v>
      </c>
      <c r="CZ149" s="62">
        <f t="shared" si="150"/>
        <v>513.80016421153414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-1.1368683772161603E-13</v>
      </c>
      <c r="DP149" s="18">
        <f>DO149*VLOOKUP('Données projet'!$B$14,Paramètres!$A$1:$I$89,3,0)*VLOOKUP('Données projet'!$B$14,Paramètres!$A$1:$I$89,5,0)</f>
        <v>-9.0449248091317723E-14</v>
      </c>
      <c r="DQ149" s="14" t="e">
        <f t="shared" si="151"/>
        <v>#NUM!</v>
      </c>
      <c r="DR149" s="22" t="e">
        <f t="shared" si="124"/>
        <v>#NUM!</v>
      </c>
      <c r="DS149" s="62" t="e">
        <f t="shared" si="125"/>
        <v>#NUM!</v>
      </c>
      <c r="DT149" s="62">
        <f ca="1">AVERAGE(OFFSET($DS$3,0,0,'Données projet'!$E$14+1,1))-AVERAGE(OFFSET($H$3,0,0,'Données projet'!$E$14+1,1))</f>
        <v>382.14353215900121</v>
      </c>
      <c r="DU149" s="62">
        <f t="shared" si="152"/>
        <v>249.73945975250177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3.5614975022420381E-17</v>
      </c>
      <c r="ED149" s="24">
        <f t="shared" si="126"/>
        <v>3.5614975022420381E-17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-1.1368683772161603E-13</v>
      </c>
      <c r="O150" s="14">
        <f>N150*VLOOKUP('Données projet'!$B$9,Paramètres!$A$1:$I$89,3,0)*VLOOKUP('Données projet'!$B$9,Paramètres!$A$1:$I$89,5,0)</f>
        <v>-1.0286385077051818E-13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429.08375622925655</v>
      </c>
      <c r="T150" s="62">
        <f t="shared" si="142"/>
        <v>278.21741231699929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2.8640161574672368E-17</v>
      </c>
      <c r="AC150" s="24">
        <f t="shared" si="111"/>
        <v>2.8640161574672368E-17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-1.1368683772161603E-13</v>
      </c>
      <c r="AJ150" s="14">
        <f>AI150*VLOOKUP('Données projet'!$B$10,Paramètres!$A$1:$I$89,3,0)*VLOOKUP('Données projet'!$B$10,Paramètres!$A$1:$I$89,5,0)</f>
        <v>-1.0818439477588981E-13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449.16408464351673</v>
      </c>
      <c r="AO150" s="62">
        <f t="shared" si="144"/>
        <v>290.39826583283588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3.0121549242327852E-17</v>
      </c>
      <c r="AX150" s="23">
        <f t="shared" si="114"/>
        <v>3.0121549242327852E-17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-1.1368683772161603E-13</v>
      </c>
      <c r="BE150" s="14">
        <f>BD150*VLOOKUP('Données projet'!$B$11,Paramètres!$A$1:$I$89,3,0)*VLOOKUP('Données projet'!$B$11,Paramètres!$A$1:$I$89,5,0)</f>
        <v>-1.0995790944434703E-13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455.85294519779609</v>
      </c>
      <c r="BJ150" s="62">
        <f t="shared" si="146"/>
        <v>294.45557293177131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3.0615345131546333E-17</v>
      </c>
      <c r="BS150" s="24">
        <f t="shared" si="117"/>
        <v>3.0615345131546333E-17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5.6843418860808015E-14</v>
      </c>
      <c r="BZ150" s="14">
        <f>BY150*VLOOKUP('Données projet'!$B$12,Paramètres!$A$1:$I$89,3,0)*VLOOKUP('Données projet'!$B$12,Paramètres!$A$1:$I$89,5,0)</f>
        <v>4.9658410716801891E-14</v>
      </c>
      <c r="CA150" s="14">
        <f t="shared" si="147"/>
        <v>8.0934058173791862E-13</v>
      </c>
      <c r="CB150" s="22">
        <f t="shared" si="118"/>
        <v>1.4960899118586383E-12</v>
      </c>
      <c r="CC150" s="62">
        <f t="shared" si="119"/>
        <v>293.33333333333479</v>
      </c>
      <c r="CD150" s="62">
        <f ca="1">AVERAGE(OFFSET($CC$3,0,0,'Données projet'!$E$12+1,1))-AVERAGE(OFFSET($H$3,0,0,'Données projet'!$E$12+1,1))</f>
        <v>304.32767345253382</v>
      </c>
      <c r="CE150" s="62">
        <f t="shared" si="148"/>
        <v>427.16091343339173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-5.6843418860808015E-14</v>
      </c>
      <c r="CU150" s="18">
        <f>CT150*VLOOKUP('Données projet'!$B$13,Paramètres!$A$1:$I$89,3,0)*VLOOKUP('Données projet'!$B$13,Paramètres!$A$1:$I$89,5,0)</f>
        <v>-5.1431925385259088E-14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350.06545824795847</v>
      </c>
      <c r="CZ150" s="62">
        <f t="shared" si="150"/>
        <v>513.80016421153414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-1.1368683772161603E-13</v>
      </c>
      <c r="DP150" s="18">
        <f>DO150*VLOOKUP('Données projet'!$B$14,Paramètres!$A$1:$I$89,3,0)*VLOOKUP('Données projet'!$B$14,Paramètres!$A$1:$I$89,5,0)</f>
        <v>-9.0449248091317723E-14</v>
      </c>
      <c r="DQ150" s="14" t="e">
        <f t="shared" si="151"/>
        <v>#NUM!</v>
      </c>
      <c r="DR150" s="22" t="e">
        <f t="shared" si="124"/>
        <v>#NUM!</v>
      </c>
      <c r="DS150" s="62" t="e">
        <f t="shared" si="125"/>
        <v>#NUM!</v>
      </c>
      <c r="DT150" s="62">
        <f ca="1">AVERAGE(OFFSET($DS$3,0,0,'Données projet'!$E$14+1,1))-AVERAGE(OFFSET($H$3,0,0,'Données projet'!$E$14+1,1))</f>
        <v>382.14353215900121</v>
      </c>
      <c r="DU150" s="62">
        <f t="shared" si="152"/>
        <v>249.73945975250177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2.5183590350142964E-17</v>
      </c>
      <c r="ED150" s="24">
        <f t="shared" si="126"/>
        <v>2.5183590350142964E-17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-1.1368683772161603E-13</v>
      </c>
      <c r="O151" s="14">
        <f>N151*VLOOKUP('Données projet'!$B$9,Paramètres!$A$1:$I$89,3,0)*VLOOKUP('Données projet'!$B$9,Paramètres!$A$1:$I$89,5,0)</f>
        <v>-1.0286385077051818E-13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429.08375622925655</v>
      </c>
      <c r="T151" s="62">
        <f t="shared" si="142"/>
        <v>278.21741231699929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2.0251652463729221E-17</v>
      </c>
      <c r="AC151" s="24">
        <f t="shared" si="111"/>
        <v>2.0251652463729221E-17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-1.1368683772161603E-13</v>
      </c>
      <c r="AJ151" s="14">
        <f>AI151*VLOOKUP('Données projet'!$B$10,Paramètres!$A$1:$I$89,3,0)*VLOOKUP('Données projet'!$B$10,Paramètres!$A$1:$I$89,5,0)</f>
        <v>-1.0818439477588981E-13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449.16408464351673</v>
      </c>
      <c r="AO151" s="62">
        <f t="shared" si="144"/>
        <v>290.39826583283588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2.1299151729094537E-17</v>
      </c>
      <c r="AX151" s="23">
        <f t="shared" si="114"/>
        <v>2.1299151729094537E-17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-1.1368683772161603E-13</v>
      </c>
      <c r="BE151" s="14">
        <f>BD151*VLOOKUP('Données projet'!$B$11,Paramètres!$A$1:$I$89,3,0)*VLOOKUP('Données projet'!$B$11,Paramètres!$A$1:$I$89,5,0)</f>
        <v>-1.0995790944434703E-13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455.85294519779609</v>
      </c>
      <c r="BJ151" s="62">
        <f t="shared" si="146"/>
        <v>294.45557293177131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2.1648318150882966E-17</v>
      </c>
      <c r="BS151" s="24">
        <f t="shared" si="117"/>
        <v>2.1648318150882966E-17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5.6843418860808015E-14</v>
      </c>
      <c r="BZ151" s="14">
        <f>BY151*VLOOKUP('Données projet'!$B$12,Paramètres!$A$1:$I$89,3,0)*VLOOKUP('Données projet'!$B$12,Paramètres!$A$1:$I$89,5,0)</f>
        <v>4.9658410716801891E-14</v>
      </c>
      <c r="CA151" s="14">
        <f t="shared" si="147"/>
        <v>8.0934058173791862E-13</v>
      </c>
      <c r="CB151" s="22">
        <f t="shared" si="118"/>
        <v>1.4960899118586383E-12</v>
      </c>
      <c r="CC151" s="62">
        <f t="shared" si="119"/>
        <v>293.33333333333479</v>
      </c>
      <c r="CD151" s="62">
        <f ca="1">AVERAGE(OFFSET($CC$3,0,0,'Données projet'!$E$12+1,1))-AVERAGE(OFFSET($H$3,0,0,'Données projet'!$E$12+1,1))</f>
        <v>304.32767345253382</v>
      </c>
      <c r="CE151" s="62">
        <f t="shared" si="148"/>
        <v>427.16091343339173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-5.6843418860808015E-14</v>
      </c>
      <c r="CU151" s="18">
        <f>CT151*VLOOKUP('Données projet'!$B$13,Paramètres!$A$1:$I$89,3,0)*VLOOKUP('Données projet'!$B$13,Paramètres!$A$1:$I$89,5,0)</f>
        <v>-5.1431925385259088E-14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350.06545824795847</v>
      </c>
      <c r="CZ151" s="62">
        <f t="shared" si="150"/>
        <v>513.80016421153414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-1.1368683772161603E-13</v>
      </c>
      <c r="DP151" s="18">
        <f>DO151*VLOOKUP('Données projet'!$B$14,Paramètres!$A$1:$I$89,3,0)*VLOOKUP('Données projet'!$B$14,Paramètres!$A$1:$I$89,5,0)</f>
        <v>-9.0449248091317723E-14</v>
      </c>
      <c r="DQ151" s="14" t="e">
        <f t="shared" si="151"/>
        <v>#NUM!</v>
      </c>
      <c r="DR151" s="22" t="e">
        <f t="shared" si="124"/>
        <v>#NUM!</v>
      </c>
      <c r="DS151" s="62" t="e">
        <f t="shared" si="125"/>
        <v>#NUM!</v>
      </c>
      <c r="DT151" s="62">
        <f ca="1">AVERAGE(OFFSET($DS$3,0,0,'Données projet'!$E$14+1,1))-AVERAGE(OFFSET($H$3,0,0,'Données projet'!$E$14+1,1))</f>
        <v>382.14353215900121</v>
      </c>
      <c r="DU151" s="62">
        <f t="shared" si="152"/>
        <v>249.73945975250177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1.780748751121019E-17</v>
      </c>
      <c r="ED151" s="24">
        <f t="shared" si="126"/>
        <v>1.780748751121019E-17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-1.1368683772161603E-13</v>
      </c>
      <c r="O152" s="14">
        <f>N152*VLOOKUP('Données projet'!$B$9,Paramètres!$A$1:$I$89,3,0)*VLOOKUP('Données projet'!$B$9,Paramètres!$A$1:$I$89,5,0)</f>
        <v>-1.0286385077051818E-13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429.08375622925655</v>
      </c>
      <c r="T152" s="62">
        <f t="shared" si="142"/>
        <v>278.21741231699929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1.4320080787336184E-17</v>
      </c>
      <c r="AC152" s="24">
        <f t="shared" si="111"/>
        <v>1.4320080787336184E-17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-1.1368683772161603E-13</v>
      </c>
      <c r="AJ152" s="14">
        <f>AI152*VLOOKUP('Données projet'!$B$10,Paramètres!$A$1:$I$89,3,0)*VLOOKUP('Données projet'!$B$10,Paramètres!$A$1:$I$89,5,0)</f>
        <v>-1.0818439477588981E-13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449.16408464351673</v>
      </c>
      <c r="AO152" s="62">
        <f t="shared" si="144"/>
        <v>290.39826583283588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1.5060774621163926E-17</v>
      </c>
      <c r="AX152" s="23">
        <f t="shared" si="114"/>
        <v>1.5060774621163926E-17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-1.1368683772161603E-13</v>
      </c>
      <c r="BE152" s="14">
        <f>BD152*VLOOKUP('Données projet'!$B$11,Paramètres!$A$1:$I$89,3,0)*VLOOKUP('Données projet'!$B$11,Paramètres!$A$1:$I$89,5,0)</f>
        <v>-1.0995790944434703E-13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455.85294519779609</v>
      </c>
      <c r="BJ152" s="62">
        <f t="shared" si="146"/>
        <v>294.45557293177131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1.5307672565773166E-17</v>
      </c>
      <c r="BS152" s="24">
        <f t="shared" si="117"/>
        <v>1.5307672565773166E-17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5.6843418860808015E-14</v>
      </c>
      <c r="BZ152" s="14">
        <f>BY152*VLOOKUP('Données projet'!$B$12,Paramètres!$A$1:$I$89,3,0)*VLOOKUP('Données projet'!$B$12,Paramètres!$A$1:$I$89,5,0)</f>
        <v>4.9658410716801891E-14</v>
      </c>
      <c r="CA152" s="14">
        <f t="shared" si="147"/>
        <v>8.0934058173791862E-13</v>
      </c>
      <c r="CB152" s="22">
        <f t="shared" si="118"/>
        <v>1.4960899118586383E-12</v>
      </c>
      <c r="CC152" s="62">
        <f t="shared" si="119"/>
        <v>293.33333333333479</v>
      </c>
      <c r="CD152" s="62">
        <f ca="1">AVERAGE(OFFSET($CC$3,0,0,'Données projet'!$E$12+1,1))-AVERAGE(OFFSET($H$3,0,0,'Données projet'!$E$12+1,1))</f>
        <v>304.32767345253382</v>
      </c>
      <c r="CE152" s="62">
        <f t="shared" si="148"/>
        <v>427.16091343339173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-5.6843418860808015E-14</v>
      </c>
      <c r="CU152" s="18">
        <f>CT152*VLOOKUP('Données projet'!$B$13,Paramètres!$A$1:$I$89,3,0)*VLOOKUP('Données projet'!$B$13,Paramètres!$A$1:$I$89,5,0)</f>
        <v>-5.1431925385259088E-14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350.06545824795847</v>
      </c>
      <c r="CZ152" s="62">
        <f t="shared" si="150"/>
        <v>513.80016421153414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-1.1368683772161603E-13</v>
      </c>
      <c r="DP152" s="18">
        <f>DO152*VLOOKUP('Données projet'!$B$14,Paramètres!$A$1:$I$89,3,0)*VLOOKUP('Données projet'!$B$14,Paramètres!$A$1:$I$89,5,0)</f>
        <v>-9.0449248091317723E-14</v>
      </c>
      <c r="DQ152" s="14" t="e">
        <f t="shared" si="151"/>
        <v>#NUM!</v>
      </c>
      <c r="DR152" s="22" t="e">
        <f t="shared" si="124"/>
        <v>#NUM!</v>
      </c>
      <c r="DS152" s="62" t="e">
        <f t="shared" si="125"/>
        <v>#NUM!</v>
      </c>
      <c r="DT152" s="62">
        <f ca="1">AVERAGE(OFFSET($DS$3,0,0,'Données projet'!$E$14+1,1))-AVERAGE(OFFSET($H$3,0,0,'Données projet'!$E$14+1,1))</f>
        <v>382.14353215900121</v>
      </c>
      <c r="DU152" s="62">
        <f t="shared" si="152"/>
        <v>249.73945975250177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1.2591795175071482E-17</v>
      </c>
      <c r="ED152" s="24">
        <f t="shared" si="126"/>
        <v>1.2591795175071482E-17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-1.1368683772161603E-13</v>
      </c>
      <c r="O153" s="14">
        <f>N153*VLOOKUP('Données projet'!$B$9,Paramètres!$A$1:$I$89,3,0)*VLOOKUP('Données projet'!$B$9,Paramètres!$A$1:$I$89,5,0)</f>
        <v>-1.0286385077051818E-13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429.08375622925655</v>
      </c>
      <c r="T153" s="62">
        <f t="shared" si="142"/>
        <v>278.21741231699929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1.012582623186461E-17</v>
      </c>
      <c r="AC153" s="24">
        <f t="shared" si="111"/>
        <v>1.012582623186461E-17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-1.1368683772161603E-13</v>
      </c>
      <c r="AJ153" s="14">
        <f>AI153*VLOOKUP('Données projet'!$B$10,Paramètres!$A$1:$I$89,3,0)*VLOOKUP('Données projet'!$B$10,Paramètres!$A$1:$I$89,5,0)</f>
        <v>-1.0818439477588981E-13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449.16408464351673</v>
      </c>
      <c r="AO153" s="62">
        <f t="shared" si="144"/>
        <v>290.39826583283588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1.0649575864547269E-17</v>
      </c>
      <c r="AX153" s="23">
        <f t="shared" si="114"/>
        <v>1.0649575864547269E-17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-1.1368683772161603E-13</v>
      </c>
      <c r="BE153" s="14">
        <f>BD153*VLOOKUP('Données projet'!$B$11,Paramètres!$A$1:$I$89,3,0)*VLOOKUP('Données projet'!$B$11,Paramètres!$A$1:$I$89,5,0)</f>
        <v>-1.0995790944434703E-13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455.85294519779609</v>
      </c>
      <c r="BJ153" s="62">
        <f t="shared" si="146"/>
        <v>294.45557293177131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1.0824159075441483E-17</v>
      </c>
      <c r="BS153" s="24">
        <f t="shared" si="117"/>
        <v>1.0824159075441483E-17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5.6843418860808015E-14</v>
      </c>
      <c r="BZ153" s="14">
        <f>BY153*VLOOKUP('Données projet'!$B$12,Paramètres!$A$1:$I$89,3,0)*VLOOKUP('Données projet'!$B$12,Paramètres!$A$1:$I$89,5,0)</f>
        <v>4.9658410716801891E-14</v>
      </c>
      <c r="CA153" s="14">
        <f t="shared" si="147"/>
        <v>8.0934058173791862E-13</v>
      </c>
      <c r="CB153" s="22">
        <f t="shared" si="118"/>
        <v>1.4960899118586383E-12</v>
      </c>
      <c r="CC153" s="62">
        <f t="shared" si="119"/>
        <v>293.33333333333479</v>
      </c>
      <c r="CD153" s="62">
        <f ca="1">AVERAGE(OFFSET($CC$3,0,0,'Données projet'!$E$12+1,1))-AVERAGE(OFFSET($H$3,0,0,'Données projet'!$E$12+1,1))</f>
        <v>304.32767345253382</v>
      </c>
      <c r="CE153" s="62">
        <f t="shared" si="148"/>
        <v>427.16091343339173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-5.6843418860808015E-14</v>
      </c>
      <c r="CU153" s="18">
        <f>CT153*VLOOKUP('Données projet'!$B$13,Paramètres!$A$1:$I$89,3,0)*VLOOKUP('Données projet'!$B$13,Paramètres!$A$1:$I$89,5,0)</f>
        <v>-5.1431925385259088E-14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350.06545824795847</v>
      </c>
      <c r="CZ153" s="62">
        <f t="shared" si="150"/>
        <v>513.80016421153414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-1.1368683772161603E-13</v>
      </c>
      <c r="DP153" s="18">
        <f>DO153*VLOOKUP('Données projet'!$B$14,Paramètres!$A$1:$I$89,3,0)*VLOOKUP('Données projet'!$B$14,Paramètres!$A$1:$I$89,5,0)</f>
        <v>-9.0449248091317723E-14</v>
      </c>
      <c r="DQ153" s="14" t="e">
        <f t="shared" si="151"/>
        <v>#NUM!</v>
      </c>
      <c r="DR153" s="22" t="e">
        <f t="shared" si="124"/>
        <v>#NUM!</v>
      </c>
      <c r="DS153" s="62" t="e">
        <f t="shared" si="125"/>
        <v>#NUM!</v>
      </c>
      <c r="DT153" s="62">
        <f ca="1">AVERAGE(OFFSET($DS$3,0,0,'Données projet'!$E$14+1,1))-AVERAGE(OFFSET($H$3,0,0,'Données projet'!$E$14+1,1))</f>
        <v>382.14353215900121</v>
      </c>
      <c r="DU153" s="62">
        <f t="shared" si="152"/>
        <v>249.73945975250177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8.9037437556050952E-18</v>
      </c>
      <c r="ED153" s="24">
        <f t="shared" si="126"/>
        <v>8.9037437556050952E-18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-1.1368683772161603E-13</v>
      </c>
      <c r="O154" s="14">
        <f>N154*VLOOKUP('Données projet'!$B$9,Paramètres!$A$1:$I$89,3,0)*VLOOKUP('Données projet'!$B$9,Paramètres!$A$1:$I$89,5,0)</f>
        <v>-1.0286385077051818E-13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429.08375622925655</v>
      </c>
      <c r="T154" s="62">
        <f t="shared" si="142"/>
        <v>278.21741231699929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7.1600403936680919E-18</v>
      </c>
      <c r="AC154" s="24">
        <f t="shared" ref="AC154:AC203" si="163">SUM(Z154:AB154)</f>
        <v>7.1600403936680919E-18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-1.1368683772161603E-13</v>
      </c>
      <c r="AJ154" s="14">
        <f>AI154*VLOOKUP('Données projet'!$B$10,Paramètres!$A$1:$I$89,3,0)*VLOOKUP('Données projet'!$B$10,Paramètres!$A$1:$I$89,5,0)</f>
        <v>-1.0818439477588981E-13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449.16408464351673</v>
      </c>
      <c r="AO154" s="62">
        <f t="shared" si="144"/>
        <v>290.39826583283588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7.530387310581963E-18</v>
      </c>
      <c r="AX154" s="23">
        <f t="shared" ref="AX154:AX203" si="166">SUM(AU154:AW154)</f>
        <v>7.530387310581963E-18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-1.1368683772161603E-13</v>
      </c>
      <c r="BE154" s="14">
        <f>BD154*VLOOKUP('Données projet'!$B$11,Paramètres!$A$1:$I$89,3,0)*VLOOKUP('Données projet'!$B$11,Paramètres!$A$1:$I$89,5,0)</f>
        <v>-1.0995790944434703E-13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455.85294519779609</v>
      </c>
      <c r="BJ154" s="62">
        <f t="shared" si="146"/>
        <v>294.45557293177131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7.6538362828865832E-18</v>
      </c>
      <c r="BS154" s="24">
        <f t="shared" ref="BS154:BS203" si="169">SUM(BP154:BR154)</f>
        <v>7.6538362828865832E-18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5.6843418860808015E-14</v>
      </c>
      <c r="BZ154" s="14">
        <f>BY154*VLOOKUP('Données projet'!$B$12,Paramètres!$A$1:$I$89,3,0)*VLOOKUP('Données projet'!$B$12,Paramètres!$A$1:$I$89,5,0)</f>
        <v>4.9658410716801891E-14</v>
      </c>
      <c r="CA154" s="14">
        <f t="shared" ref="CA154:CA203" si="170">EXP(-1.0587+0.8836*LN(BZ154)+0.284)</f>
        <v>8.0934058173791862E-13</v>
      </c>
      <c r="CB154" s="22">
        <f t="shared" ref="CB154:CB203" si="171">(BZ154+CA154)*0.475*44/12</f>
        <v>1.4960899118586383E-12</v>
      </c>
      <c r="CC154" s="62">
        <f t="shared" si="119"/>
        <v>293.33333333333479</v>
      </c>
      <c r="CD154" s="62">
        <f ca="1">AVERAGE(OFFSET($CC$3,0,0,'Données projet'!$E$12+1,1))-AVERAGE(OFFSET($H$3,0,0,'Données projet'!$E$12+1,1))</f>
        <v>304.32767345253382</v>
      </c>
      <c r="CE154" s="62">
        <f t="shared" si="148"/>
        <v>427.16091343339173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-5.6843418860808015E-14</v>
      </c>
      <c r="CU154" s="18">
        <f>CT154*VLOOKUP('Données projet'!$B$13,Paramètres!$A$1:$I$89,3,0)*VLOOKUP('Données projet'!$B$13,Paramètres!$A$1:$I$89,5,0)</f>
        <v>-5.1431925385259088E-14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350.06545824795847</v>
      </c>
      <c r="CZ154" s="62">
        <f t="shared" si="150"/>
        <v>513.80016421153414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-1.1368683772161603E-13</v>
      </c>
      <c r="DP154" s="18">
        <f>DO154*VLOOKUP('Données projet'!$B$14,Paramètres!$A$1:$I$89,3,0)*VLOOKUP('Données projet'!$B$14,Paramètres!$A$1:$I$89,5,0)</f>
        <v>-9.0449248091317723E-14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25"/>
        <v>#NUM!</v>
      </c>
      <c r="DT154" s="62">
        <f ca="1">AVERAGE(OFFSET($DS$3,0,0,'Données projet'!$E$14+1,1))-AVERAGE(OFFSET($H$3,0,0,'Données projet'!$E$14+1,1))</f>
        <v>382.14353215900121</v>
      </c>
      <c r="DU154" s="62">
        <f t="shared" si="152"/>
        <v>249.73945975250177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6.295897587535741E-18</v>
      </c>
      <c r="ED154" s="24">
        <f t="shared" ref="ED154:ED203" si="178">SUM(EA154:EC154)</f>
        <v>6.295897587535741E-18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-1.1368683772161603E-13</v>
      </c>
      <c r="O155" s="14">
        <f>N155*VLOOKUP('Données projet'!$B$9,Paramètres!$A$1:$I$89,3,0)*VLOOKUP('Données projet'!$B$9,Paramètres!$A$1:$I$89,5,0)</f>
        <v>-1.0286385077051818E-13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429.08375622925655</v>
      </c>
      <c r="T155" s="62">
        <f t="shared" si="142"/>
        <v>278.21741231699929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5.0629131159323052E-18</v>
      </c>
      <c r="AC155" s="24">
        <f t="shared" si="163"/>
        <v>5.0629131159323052E-18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-1.1368683772161603E-13</v>
      </c>
      <c r="AJ155" s="14">
        <f>AI155*VLOOKUP('Données projet'!$B$10,Paramètres!$A$1:$I$89,3,0)*VLOOKUP('Données projet'!$B$10,Paramètres!$A$1:$I$89,5,0)</f>
        <v>-1.0818439477588981E-13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449.16408464351673</v>
      </c>
      <c r="AO155" s="62">
        <f t="shared" si="144"/>
        <v>290.39826583283588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5.3247879322736343E-18</v>
      </c>
      <c r="AX155" s="23">
        <f t="shared" si="166"/>
        <v>5.3247879322736343E-18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-1.1368683772161603E-13</v>
      </c>
      <c r="BE155" s="14">
        <f>BD155*VLOOKUP('Données projet'!$B$11,Paramètres!$A$1:$I$89,3,0)*VLOOKUP('Données projet'!$B$11,Paramètres!$A$1:$I$89,5,0)</f>
        <v>-1.0995790944434703E-13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455.85294519779609</v>
      </c>
      <c r="BJ155" s="62">
        <f t="shared" si="146"/>
        <v>294.45557293177131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5.4120795377207415E-18</v>
      </c>
      <c r="BS155" s="24">
        <f t="shared" si="169"/>
        <v>5.4120795377207415E-18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5.6843418860808015E-14</v>
      </c>
      <c r="BZ155" s="14">
        <f>BY155*VLOOKUP('Données projet'!$B$12,Paramètres!$A$1:$I$89,3,0)*VLOOKUP('Données projet'!$B$12,Paramètres!$A$1:$I$89,5,0)</f>
        <v>4.9658410716801891E-14</v>
      </c>
      <c r="CA155" s="14">
        <f t="shared" si="170"/>
        <v>8.0934058173791862E-13</v>
      </c>
      <c r="CB155" s="22">
        <f t="shared" si="171"/>
        <v>1.4960899118586383E-12</v>
      </c>
      <c r="CC155" s="62">
        <f t="shared" si="119"/>
        <v>293.33333333333479</v>
      </c>
      <c r="CD155" s="62">
        <f ca="1">AVERAGE(OFFSET($CC$3,0,0,'Données projet'!$E$12+1,1))-AVERAGE(OFFSET($H$3,0,0,'Données projet'!$E$12+1,1))</f>
        <v>304.32767345253382</v>
      </c>
      <c r="CE155" s="62">
        <f t="shared" si="148"/>
        <v>427.16091343339173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-5.6843418860808015E-14</v>
      </c>
      <c r="CU155" s="18">
        <f>CT155*VLOOKUP('Données projet'!$B$13,Paramètres!$A$1:$I$89,3,0)*VLOOKUP('Données projet'!$B$13,Paramètres!$A$1:$I$89,5,0)</f>
        <v>-5.1431925385259088E-14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350.06545824795847</v>
      </c>
      <c r="CZ155" s="62">
        <f t="shared" si="150"/>
        <v>513.80016421153414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-1.1368683772161603E-13</v>
      </c>
      <c r="DP155" s="18">
        <f>DO155*VLOOKUP('Données projet'!$B$14,Paramètres!$A$1:$I$89,3,0)*VLOOKUP('Données projet'!$B$14,Paramètres!$A$1:$I$89,5,0)</f>
        <v>-9.0449248091317723E-14</v>
      </c>
      <c r="DQ155" s="14" t="e">
        <f t="shared" si="176"/>
        <v>#NUM!</v>
      </c>
      <c r="DR155" s="22" t="e">
        <f t="shared" si="177"/>
        <v>#NUM!</v>
      </c>
      <c r="DS155" s="62" t="e">
        <f t="shared" si="125"/>
        <v>#NUM!</v>
      </c>
      <c r="DT155" s="62">
        <f ca="1">AVERAGE(OFFSET($DS$3,0,0,'Données projet'!$E$14+1,1))-AVERAGE(OFFSET($H$3,0,0,'Données projet'!$E$14+1,1))</f>
        <v>382.14353215900121</v>
      </c>
      <c r="DU155" s="62">
        <f t="shared" si="152"/>
        <v>249.73945975250177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4.4518718778025476E-18</v>
      </c>
      <c r="ED155" s="24">
        <f t="shared" si="178"/>
        <v>4.4518718778025476E-18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-1.1368683772161603E-13</v>
      </c>
      <c r="O156" s="14">
        <f>N156*VLOOKUP('Données projet'!$B$9,Paramètres!$A$1:$I$89,3,0)*VLOOKUP('Données projet'!$B$9,Paramètres!$A$1:$I$89,5,0)</f>
        <v>-1.0286385077051818E-13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429.08375622925655</v>
      </c>
      <c r="T156" s="62">
        <f t="shared" si="142"/>
        <v>278.21741231699929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3.5800201968340459E-18</v>
      </c>
      <c r="AC156" s="24">
        <f t="shared" si="163"/>
        <v>3.5800201968340459E-18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-1.1368683772161603E-13</v>
      </c>
      <c r="AJ156" s="14">
        <f>AI156*VLOOKUP('Données projet'!$B$10,Paramètres!$A$1:$I$89,3,0)*VLOOKUP('Données projet'!$B$10,Paramètres!$A$1:$I$89,5,0)</f>
        <v>-1.0818439477588981E-13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449.16408464351673</v>
      </c>
      <c r="AO156" s="62">
        <f t="shared" si="144"/>
        <v>290.39826583283588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3.7651936552909815E-18</v>
      </c>
      <c r="AX156" s="23">
        <f t="shared" si="166"/>
        <v>3.7651936552909815E-18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-1.1368683772161603E-13</v>
      </c>
      <c r="BE156" s="14">
        <f>BD156*VLOOKUP('Données projet'!$B$11,Paramètres!$A$1:$I$89,3,0)*VLOOKUP('Données projet'!$B$11,Paramètres!$A$1:$I$89,5,0)</f>
        <v>-1.0995790944434703E-13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455.85294519779609</v>
      </c>
      <c r="BJ156" s="62">
        <f t="shared" si="146"/>
        <v>294.45557293177131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3.8269181414432916E-18</v>
      </c>
      <c r="BS156" s="24">
        <f t="shared" si="169"/>
        <v>3.8269181414432916E-18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5.6843418860808015E-14</v>
      </c>
      <c r="BZ156" s="14">
        <f>BY156*VLOOKUP('Données projet'!$B$12,Paramètres!$A$1:$I$89,3,0)*VLOOKUP('Données projet'!$B$12,Paramètres!$A$1:$I$89,5,0)</f>
        <v>4.9658410716801891E-14</v>
      </c>
      <c r="CA156" s="14">
        <f t="shared" si="170"/>
        <v>8.0934058173791862E-13</v>
      </c>
      <c r="CB156" s="22">
        <f t="shared" si="171"/>
        <v>1.4960899118586383E-12</v>
      </c>
      <c r="CC156" s="62">
        <f t="shared" si="119"/>
        <v>293.33333333333479</v>
      </c>
      <c r="CD156" s="62">
        <f ca="1">AVERAGE(OFFSET($CC$3,0,0,'Données projet'!$E$12+1,1))-AVERAGE(OFFSET($H$3,0,0,'Données projet'!$E$12+1,1))</f>
        <v>304.32767345253382</v>
      </c>
      <c r="CE156" s="62">
        <f t="shared" si="148"/>
        <v>427.16091343339173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-5.6843418860808015E-14</v>
      </c>
      <c r="CU156" s="18">
        <f>CT156*VLOOKUP('Données projet'!$B$13,Paramètres!$A$1:$I$89,3,0)*VLOOKUP('Données projet'!$B$13,Paramètres!$A$1:$I$89,5,0)</f>
        <v>-5.1431925385259088E-14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350.06545824795847</v>
      </c>
      <c r="CZ156" s="62">
        <f t="shared" si="150"/>
        <v>513.80016421153414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-1.1368683772161603E-13</v>
      </c>
      <c r="DP156" s="18">
        <f>DO156*VLOOKUP('Données projet'!$B$14,Paramètres!$A$1:$I$89,3,0)*VLOOKUP('Données projet'!$B$14,Paramètres!$A$1:$I$89,5,0)</f>
        <v>-9.0449248091317723E-14</v>
      </c>
      <c r="DQ156" s="14" t="e">
        <f t="shared" si="176"/>
        <v>#NUM!</v>
      </c>
      <c r="DR156" s="22" t="e">
        <f t="shared" si="177"/>
        <v>#NUM!</v>
      </c>
      <c r="DS156" s="62" t="e">
        <f t="shared" si="125"/>
        <v>#NUM!</v>
      </c>
      <c r="DT156" s="62">
        <f ca="1">AVERAGE(OFFSET($DS$3,0,0,'Données projet'!$E$14+1,1))-AVERAGE(OFFSET($H$3,0,0,'Données projet'!$E$14+1,1))</f>
        <v>382.14353215900121</v>
      </c>
      <c r="DU156" s="62">
        <f t="shared" si="152"/>
        <v>249.73945975250177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3.1479487937678705E-18</v>
      </c>
      <c r="ED156" s="24">
        <f t="shared" si="178"/>
        <v>3.1479487937678705E-18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-1.1368683772161603E-13</v>
      </c>
      <c r="O157" s="14">
        <f>N157*VLOOKUP('Données projet'!$B$9,Paramètres!$A$1:$I$89,3,0)*VLOOKUP('Données projet'!$B$9,Paramètres!$A$1:$I$89,5,0)</f>
        <v>-1.0286385077051818E-13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429.08375622925655</v>
      </c>
      <c r="T157" s="62">
        <f t="shared" si="142"/>
        <v>278.21741231699929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2.5314565579661526E-18</v>
      </c>
      <c r="AC157" s="24">
        <f t="shared" si="163"/>
        <v>2.5314565579661526E-18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-1.1368683772161603E-13</v>
      </c>
      <c r="AJ157" s="14">
        <f>AI157*VLOOKUP('Données projet'!$B$10,Paramètres!$A$1:$I$89,3,0)*VLOOKUP('Données projet'!$B$10,Paramètres!$A$1:$I$89,5,0)</f>
        <v>-1.0818439477588981E-13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449.16408464351673</v>
      </c>
      <c r="AO157" s="62">
        <f t="shared" si="144"/>
        <v>290.39826583283588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2.6623939661368172E-18</v>
      </c>
      <c r="AX157" s="23">
        <f t="shared" si="166"/>
        <v>2.6623939661368172E-18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-1.1368683772161603E-13</v>
      </c>
      <c r="BE157" s="14">
        <f>BD157*VLOOKUP('Données projet'!$B$11,Paramètres!$A$1:$I$89,3,0)*VLOOKUP('Données projet'!$B$11,Paramètres!$A$1:$I$89,5,0)</f>
        <v>-1.0995790944434703E-13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455.85294519779609</v>
      </c>
      <c r="BJ157" s="62">
        <f t="shared" si="146"/>
        <v>294.45557293177131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2.7060397688603707E-18</v>
      </c>
      <c r="BS157" s="24">
        <f t="shared" si="169"/>
        <v>2.7060397688603707E-18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5.6843418860808015E-14</v>
      </c>
      <c r="BZ157" s="14">
        <f>BY157*VLOOKUP('Données projet'!$B$12,Paramètres!$A$1:$I$89,3,0)*VLOOKUP('Données projet'!$B$12,Paramètres!$A$1:$I$89,5,0)</f>
        <v>4.9658410716801891E-14</v>
      </c>
      <c r="CA157" s="14">
        <f t="shared" si="170"/>
        <v>8.0934058173791862E-13</v>
      </c>
      <c r="CB157" s="22">
        <f t="shared" si="171"/>
        <v>1.4960899118586383E-12</v>
      </c>
      <c r="CC157" s="62">
        <f t="shared" si="119"/>
        <v>293.33333333333479</v>
      </c>
      <c r="CD157" s="62">
        <f ca="1">AVERAGE(OFFSET($CC$3,0,0,'Données projet'!$E$12+1,1))-AVERAGE(OFFSET($H$3,0,0,'Données projet'!$E$12+1,1))</f>
        <v>304.32767345253382</v>
      </c>
      <c r="CE157" s="62">
        <f t="shared" si="148"/>
        <v>427.16091343339173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-5.6843418860808015E-14</v>
      </c>
      <c r="CU157" s="18">
        <f>CT157*VLOOKUP('Données projet'!$B$13,Paramètres!$A$1:$I$89,3,0)*VLOOKUP('Données projet'!$B$13,Paramètres!$A$1:$I$89,5,0)</f>
        <v>-5.1431925385259088E-14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350.06545824795847</v>
      </c>
      <c r="CZ157" s="62">
        <f t="shared" si="150"/>
        <v>513.80016421153414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-1.1368683772161603E-13</v>
      </c>
      <c r="DP157" s="18">
        <f>DO157*VLOOKUP('Données projet'!$B$14,Paramètres!$A$1:$I$89,3,0)*VLOOKUP('Données projet'!$B$14,Paramètres!$A$1:$I$89,5,0)</f>
        <v>-9.0449248091317723E-14</v>
      </c>
      <c r="DQ157" s="14" t="e">
        <f t="shared" si="176"/>
        <v>#NUM!</v>
      </c>
      <c r="DR157" s="22" t="e">
        <f t="shared" si="177"/>
        <v>#NUM!</v>
      </c>
      <c r="DS157" s="62" t="e">
        <f t="shared" si="125"/>
        <v>#NUM!</v>
      </c>
      <c r="DT157" s="62">
        <f ca="1">AVERAGE(OFFSET($DS$3,0,0,'Données projet'!$E$14+1,1))-AVERAGE(OFFSET($H$3,0,0,'Données projet'!$E$14+1,1))</f>
        <v>382.14353215900121</v>
      </c>
      <c r="DU157" s="62">
        <f t="shared" si="152"/>
        <v>249.73945975250177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2.2259359389012738E-18</v>
      </c>
      <c r="ED157" s="24">
        <f t="shared" si="178"/>
        <v>2.2259359389012738E-18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-1.1368683772161603E-13</v>
      </c>
      <c r="O158" s="14">
        <f>N158*VLOOKUP('Données projet'!$B$9,Paramètres!$A$1:$I$89,3,0)*VLOOKUP('Données projet'!$B$9,Paramètres!$A$1:$I$89,5,0)</f>
        <v>-1.0286385077051818E-13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429.08375622925655</v>
      </c>
      <c r="T158" s="62">
        <f t="shared" si="142"/>
        <v>278.21741231699929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1.790010098417023E-18</v>
      </c>
      <c r="AC158" s="24">
        <f t="shared" si="163"/>
        <v>1.790010098417023E-18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-1.1368683772161603E-13</v>
      </c>
      <c r="AJ158" s="14">
        <f>AI158*VLOOKUP('Données projet'!$B$10,Paramètres!$A$1:$I$89,3,0)*VLOOKUP('Données projet'!$B$10,Paramètres!$A$1:$I$89,5,0)</f>
        <v>-1.0818439477588981E-13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449.16408464351673</v>
      </c>
      <c r="AO158" s="62">
        <f t="shared" si="144"/>
        <v>290.39826583283588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1.8825968276454908E-18</v>
      </c>
      <c r="AX158" s="23">
        <f t="shared" si="166"/>
        <v>1.8825968276454908E-18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-1.1368683772161603E-13</v>
      </c>
      <c r="BE158" s="14">
        <f>BD158*VLOOKUP('Données projet'!$B$11,Paramètres!$A$1:$I$89,3,0)*VLOOKUP('Données projet'!$B$11,Paramètres!$A$1:$I$89,5,0)</f>
        <v>-1.0995790944434703E-13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455.85294519779609</v>
      </c>
      <c r="BJ158" s="62">
        <f t="shared" si="146"/>
        <v>294.45557293177131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1.9134590707216458E-18</v>
      </c>
      <c r="BS158" s="24">
        <f t="shared" si="169"/>
        <v>1.9134590707216458E-18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5.6843418860808015E-14</v>
      </c>
      <c r="BZ158" s="14">
        <f>BY158*VLOOKUP('Données projet'!$B$12,Paramètres!$A$1:$I$89,3,0)*VLOOKUP('Données projet'!$B$12,Paramètres!$A$1:$I$89,5,0)</f>
        <v>4.9658410716801891E-14</v>
      </c>
      <c r="CA158" s="14">
        <f t="shared" si="170"/>
        <v>8.0934058173791862E-13</v>
      </c>
      <c r="CB158" s="22">
        <f t="shared" si="171"/>
        <v>1.4960899118586383E-12</v>
      </c>
      <c r="CC158" s="62">
        <f t="shared" si="119"/>
        <v>293.33333333333479</v>
      </c>
      <c r="CD158" s="62">
        <f ca="1">AVERAGE(OFFSET($CC$3,0,0,'Données projet'!$E$12+1,1))-AVERAGE(OFFSET($H$3,0,0,'Données projet'!$E$12+1,1))</f>
        <v>304.32767345253382</v>
      </c>
      <c r="CE158" s="62">
        <f t="shared" si="148"/>
        <v>427.16091343339173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-5.6843418860808015E-14</v>
      </c>
      <c r="CU158" s="18">
        <f>CT158*VLOOKUP('Données projet'!$B$13,Paramètres!$A$1:$I$89,3,0)*VLOOKUP('Données projet'!$B$13,Paramètres!$A$1:$I$89,5,0)</f>
        <v>-5.1431925385259088E-14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350.06545824795847</v>
      </c>
      <c r="CZ158" s="62">
        <f t="shared" si="150"/>
        <v>513.80016421153414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-1.1368683772161603E-13</v>
      </c>
      <c r="DP158" s="18">
        <f>DO158*VLOOKUP('Données projet'!$B$14,Paramètres!$A$1:$I$89,3,0)*VLOOKUP('Données projet'!$B$14,Paramètres!$A$1:$I$89,5,0)</f>
        <v>-9.0449248091317723E-14</v>
      </c>
      <c r="DQ158" s="14" t="e">
        <f t="shared" si="176"/>
        <v>#NUM!</v>
      </c>
      <c r="DR158" s="22" t="e">
        <f t="shared" si="177"/>
        <v>#NUM!</v>
      </c>
      <c r="DS158" s="62" t="e">
        <f t="shared" si="125"/>
        <v>#NUM!</v>
      </c>
      <c r="DT158" s="62">
        <f ca="1">AVERAGE(OFFSET($DS$3,0,0,'Données projet'!$E$14+1,1))-AVERAGE(OFFSET($H$3,0,0,'Données projet'!$E$14+1,1))</f>
        <v>382.14353215900121</v>
      </c>
      <c r="DU158" s="62">
        <f t="shared" si="152"/>
        <v>249.73945975250177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1.5739743968839353E-18</v>
      </c>
      <c r="ED158" s="24">
        <f t="shared" si="178"/>
        <v>1.5739743968839353E-18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-1.1368683772161603E-13</v>
      </c>
      <c r="O159" s="14">
        <f>N159*VLOOKUP('Données projet'!$B$9,Paramètres!$A$1:$I$89,3,0)*VLOOKUP('Données projet'!$B$9,Paramètres!$A$1:$I$89,5,0)</f>
        <v>-1.0286385077051818E-13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429.08375622925655</v>
      </c>
      <c r="T159" s="62">
        <f t="shared" si="142"/>
        <v>278.21741231699929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1.2657282789830763E-18</v>
      </c>
      <c r="AC159" s="24">
        <f t="shared" si="163"/>
        <v>1.2657282789830763E-18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-1.1368683772161603E-13</v>
      </c>
      <c r="AJ159" s="14">
        <f>AI159*VLOOKUP('Données projet'!$B$10,Paramètres!$A$1:$I$89,3,0)*VLOOKUP('Données projet'!$B$10,Paramètres!$A$1:$I$89,5,0)</f>
        <v>-1.0818439477588981E-13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449.16408464351673</v>
      </c>
      <c r="AO159" s="62">
        <f t="shared" si="144"/>
        <v>290.39826583283588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1.3311969830684086E-18</v>
      </c>
      <c r="AX159" s="23">
        <f t="shared" si="166"/>
        <v>1.3311969830684086E-18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-1.1368683772161603E-13</v>
      </c>
      <c r="BE159" s="14">
        <f>BD159*VLOOKUP('Données projet'!$B$11,Paramètres!$A$1:$I$89,3,0)*VLOOKUP('Données projet'!$B$11,Paramètres!$A$1:$I$89,5,0)</f>
        <v>-1.0995790944434703E-13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455.85294519779609</v>
      </c>
      <c r="BJ159" s="62">
        <f t="shared" si="146"/>
        <v>294.45557293177131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1.3530198844301854E-18</v>
      </c>
      <c r="BS159" s="24">
        <f t="shared" si="169"/>
        <v>1.3530198844301854E-18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5.6843418860808015E-14</v>
      </c>
      <c r="BZ159" s="14">
        <f>BY159*VLOOKUP('Données projet'!$B$12,Paramètres!$A$1:$I$89,3,0)*VLOOKUP('Données projet'!$B$12,Paramètres!$A$1:$I$89,5,0)</f>
        <v>4.9658410716801891E-14</v>
      </c>
      <c r="CA159" s="14">
        <f t="shared" si="170"/>
        <v>8.0934058173791862E-13</v>
      </c>
      <c r="CB159" s="22">
        <f t="shared" si="171"/>
        <v>1.4960899118586383E-12</v>
      </c>
      <c r="CC159" s="62">
        <f t="shared" si="119"/>
        <v>293.33333333333479</v>
      </c>
      <c r="CD159" s="62">
        <f ca="1">AVERAGE(OFFSET($CC$3,0,0,'Données projet'!$E$12+1,1))-AVERAGE(OFFSET($H$3,0,0,'Données projet'!$E$12+1,1))</f>
        <v>304.32767345253382</v>
      </c>
      <c r="CE159" s="62">
        <f t="shared" si="148"/>
        <v>427.16091343339173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-5.6843418860808015E-14</v>
      </c>
      <c r="CU159" s="18">
        <f>CT159*VLOOKUP('Données projet'!$B$13,Paramètres!$A$1:$I$89,3,0)*VLOOKUP('Données projet'!$B$13,Paramètres!$A$1:$I$89,5,0)</f>
        <v>-5.1431925385259088E-14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350.06545824795847</v>
      </c>
      <c r="CZ159" s="62">
        <f t="shared" si="150"/>
        <v>513.80016421153414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-1.1368683772161603E-13</v>
      </c>
      <c r="DP159" s="18">
        <f>DO159*VLOOKUP('Données projet'!$B$14,Paramètres!$A$1:$I$89,3,0)*VLOOKUP('Données projet'!$B$14,Paramètres!$A$1:$I$89,5,0)</f>
        <v>-9.0449248091317723E-14</v>
      </c>
      <c r="DQ159" s="14" t="e">
        <f t="shared" si="176"/>
        <v>#NUM!</v>
      </c>
      <c r="DR159" s="22" t="e">
        <f t="shared" si="177"/>
        <v>#NUM!</v>
      </c>
      <c r="DS159" s="62" t="e">
        <f t="shared" si="125"/>
        <v>#NUM!</v>
      </c>
      <c r="DT159" s="62">
        <f ca="1">AVERAGE(OFFSET($DS$3,0,0,'Données projet'!$E$14+1,1))-AVERAGE(OFFSET($H$3,0,0,'Données projet'!$E$14+1,1))</f>
        <v>382.14353215900121</v>
      </c>
      <c r="DU159" s="62">
        <f t="shared" si="152"/>
        <v>249.73945975250177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1.1129679694506369E-18</v>
      </c>
      <c r="ED159" s="24">
        <f t="shared" si="178"/>
        <v>1.1129679694506369E-18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-1.1368683772161603E-13</v>
      </c>
      <c r="O160" s="14">
        <f>N160*VLOOKUP('Données projet'!$B$9,Paramètres!$A$1:$I$89,3,0)*VLOOKUP('Données projet'!$B$9,Paramètres!$A$1:$I$89,5,0)</f>
        <v>-1.0286385077051818E-13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429.08375622925655</v>
      </c>
      <c r="T160" s="62">
        <f t="shared" si="142"/>
        <v>278.21741231699929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8.9500504920851149E-19</v>
      </c>
      <c r="AC160" s="24">
        <f t="shared" si="163"/>
        <v>8.9500504920851149E-19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-1.1368683772161603E-13</v>
      </c>
      <c r="AJ160" s="14">
        <f>AI160*VLOOKUP('Données projet'!$B$10,Paramètres!$A$1:$I$89,3,0)*VLOOKUP('Données projet'!$B$10,Paramètres!$A$1:$I$89,5,0)</f>
        <v>-1.0818439477588981E-13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449.16408464351673</v>
      </c>
      <c r="AO160" s="62">
        <f t="shared" si="144"/>
        <v>290.39826583283588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9.4129841382274538E-19</v>
      </c>
      <c r="AX160" s="23">
        <f t="shared" si="166"/>
        <v>9.4129841382274538E-19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-1.1368683772161603E-13</v>
      </c>
      <c r="BE160" s="14">
        <f>BD160*VLOOKUP('Données projet'!$B$11,Paramètres!$A$1:$I$89,3,0)*VLOOKUP('Données projet'!$B$11,Paramètres!$A$1:$I$89,5,0)</f>
        <v>-1.0995790944434703E-13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455.85294519779609</v>
      </c>
      <c r="BJ160" s="62">
        <f t="shared" si="146"/>
        <v>294.45557293177131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9.5672953536082289E-19</v>
      </c>
      <c r="BS160" s="24">
        <f t="shared" si="169"/>
        <v>9.5672953536082289E-19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5.6843418860808015E-14</v>
      </c>
      <c r="BZ160" s="14">
        <f>BY160*VLOOKUP('Données projet'!$B$12,Paramètres!$A$1:$I$89,3,0)*VLOOKUP('Données projet'!$B$12,Paramètres!$A$1:$I$89,5,0)</f>
        <v>4.9658410716801891E-14</v>
      </c>
      <c r="CA160" s="14">
        <f t="shared" si="170"/>
        <v>8.0934058173791862E-13</v>
      </c>
      <c r="CB160" s="22">
        <f t="shared" si="171"/>
        <v>1.4960899118586383E-12</v>
      </c>
      <c r="CC160" s="62">
        <f t="shared" si="119"/>
        <v>293.33333333333479</v>
      </c>
      <c r="CD160" s="62">
        <f ca="1">AVERAGE(OFFSET($CC$3,0,0,'Données projet'!$E$12+1,1))-AVERAGE(OFFSET($H$3,0,0,'Données projet'!$E$12+1,1))</f>
        <v>304.32767345253382</v>
      </c>
      <c r="CE160" s="62">
        <f t="shared" si="148"/>
        <v>427.16091343339173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-5.6843418860808015E-14</v>
      </c>
      <c r="CU160" s="18">
        <f>CT160*VLOOKUP('Données projet'!$B$13,Paramètres!$A$1:$I$89,3,0)*VLOOKUP('Données projet'!$B$13,Paramètres!$A$1:$I$89,5,0)</f>
        <v>-5.1431925385259088E-14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350.06545824795847</v>
      </c>
      <c r="CZ160" s="62">
        <f t="shared" si="150"/>
        <v>513.80016421153414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-1.1368683772161603E-13</v>
      </c>
      <c r="DP160" s="18">
        <f>DO160*VLOOKUP('Données projet'!$B$14,Paramètres!$A$1:$I$89,3,0)*VLOOKUP('Données projet'!$B$14,Paramètres!$A$1:$I$89,5,0)</f>
        <v>-9.0449248091317723E-14</v>
      </c>
      <c r="DQ160" s="14" t="e">
        <f t="shared" si="176"/>
        <v>#NUM!</v>
      </c>
      <c r="DR160" s="22" t="e">
        <f t="shared" si="177"/>
        <v>#NUM!</v>
      </c>
      <c r="DS160" s="62" t="e">
        <f t="shared" si="125"/>
        <v>#NUM!</v>
      </c>
      <c r="DT160" s="62">
        <f ca="1">AVERAGE(OFFSET($DS$3,0,0,'Données projet'!$E$14+1,1))-AVERAGE(OFFSET($H$3,0,0,'Données projet'!$E$14+1,1))</f>
        <v>382.14353215900121</v>
      </c>
      <c r="DU160" s="62">
        <f t="shared" si="152"/>
        <v>249.73945975250177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7.8698719844196763E-19</v>
      </c>
      <c r="ED160" s="24">
        <f t="shared" si="178"/>
        <v>7.8698719844196763E-19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-1.1368683772161603E-13</v>
      </c>
      <c r="O161" s="14">
        <f>N161*VLOOKUP('Données projet'!$B$9,Paramètres!$A$1:$I$89,3,0)*VLOOKUP('Données projet'!$B$9,Paramètres!$A$1:$I$89,5,0)</f>
        <v>-1.0286385077051818E-13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429.08375622925655</v>
      </c>
      <c r="T161" s="62">
        <f t="shared" si="142"/>
        <v>278.21741231699929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6.3286413949153815E-19</v>
      </c>
      <c r="AC161" s="24">
        <f t="shared" si="163"/>
        <v>6.3286413949153815E-19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-1.1368683772161603E-13</v>
      </c>
      <c r="AJ161" s="14">
        <f>AI161*VLOOKUP('Données projet'!$B$10,Paramètres!$A$1:$I$89,3,0)*VLOOKUP('Données projet'!$B$10,Paramètres!$A$1:$I$89,5,0)</f>
        <v>-1.0818439477588981E-13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449.16408464351673</v>
      </c>
      <c r="AO161" s="62">
        <f t="shared" si="144"/>
        <v>290.39826583283588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6.6559849153420429E-19</v>
      </c>
      <c r="AX161" s="23">
        <f t="shared" si="166"/>
        <v>6.6559849153420429E-19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-1.1368683772161603E-13</v>
      </c>
      <c r="BE161" s="14">
        <f>BD161*VLOOKUP('Données projet'!$B$11,Paramètres!$A$1:$I$89,3,0)*VLOOKUP('Données projet'!$B$11,Paramètres!$A$1:$I$89,5,0)</f>
        <v>-1.0995790944434703E-13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455.85294519779609</v>
      </c>
      <c r="BJ161" s="62">
        <f t="shared" si="146"/>
        <v>294.45557293177131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6.7650994221509268E-19</v>
      </c>
      <c r="BS161" s="24">
        <f t="shared" si="169"/>
        <v>6.7650994221509268E-19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5.6843418860808015E-14</v>
      </c>
      <c r="BZ161" s="14">
        <f>BY161*VLOOKUP('Données projet'!$B$12,Paramètres!$A$1:$I$89,3,0)*VLOOKUP('Données projet'!$B$12,Paramètres!$A$1:$I$89,5,0)</f>
        <v>4.9658410716801891E-14</v>
      </c>
      <c r="CA161" s="14">
        <f t="shared" si="170"/>
        <v>8.0934058173791862E-13</v>
      </c>
      <c r="CB161" s="22">
        <f t="shared" si="171"/>
        <v>1.4960899118586383E-12</v>
      </c>
      <c r="CC161" s="62">
        <f t="shared" si="119"/>
        <v>293.33333333333479</v>
      </c>
      <c r="CD161" s="62">
        <f ca="1">AVERAGE(OFFSET($CC$3,0,0,'Données projet'!$E$12+1,1))-AVERAGE(OFFSET($H$3,0,0,'Données projet'!$E$12+1,1))</f>
        <v>304.32767345253382</v>
      </c>
      <c r="CE161" s="62">
        <f t="shared" si="148"/>
        <v>427.16091343339173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-5.6843418860808015E-14</v>
      </c>
      <c r="CU161" s="18">
        <f>CT161*VLOOKUP('Données projet'!$B$13,Paramètres!$A$1:$I$89,3,0)*VLOOKUP('Données projet'!$B$13,Paramètres!$A$1:$I$89,5,0)</f>
        <v>-5.1431925385259088E-14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350.06545824795847</v>
      </c>
      <c r="CZ161" s="62">
        <f t="shared" si="150"/>
        <v>513.80016421153414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-1.1368683772161603E-13</v>
      </c>
      <c r="DP161" s="18">
        <f>DO161*VLOOKUP('Données projet'!$B$14,Paramètres!$A$1:$I$89,3,0)*VLOOKUP('Données projet'!$B$14,Paramètres!$A$1:$I$89,5,0)</f>
        <v>-9.0449248091317723E-14</v>
      </c>
      <c r="DQ161" s="14" t="e">
        <f t="shared" si="176"/>
        <v>#NUM!</v>
      </c>
      <c r="DR161" s="22" t="e">
        <f t="shared" si="177"/>
        <v>#NUM!</v>
      </c>
      <c r="DS161" s="62" t="e">
        <f t="shared" si="125"/>
        <v>#NUM!</v>
      </c>
      <c r="DT161" s="62">
        <f ca="1">AVERAGE(OFFSET($DS$3,0,0,'Données projet'!$E$14+1,1))-AVERAGE(OFFSET($H$3,0,0,'Données projet'!$E$14+1,1))</f>
        <v>382.14353215900121</v>
      </c>
      <c r="DU161" s="62">
        <f t="shared" si="152"/>
        <v>249.73945975250177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5.5648398472531845E-19</v>
      </c>
      <c r="ED161" s="24">
        <f t="shared" si="178"/>
        <v>5.5648398472531845E-19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-1.1368683772161603E-13</v>
      </c>
      <c r="O162" s="14">
        <f>N162*VLOOKUP('Données projet'!$B$9,Paramètres!$A$1:$I$89,3,0)*VLOOKUP('Données projet'!$B$9,Paramètres!$A$1:$I$89,5,0)</f>
        <v>-1.0286385077051818E-13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429.08375622925655</v>
      </c>
      <c r="T162" s="62">
        <f t="shared" si="142"/>
        <v>278.21741231699929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4.4750252460425574E-19</v>
      </c>
      <c r="AC162" s="24">
        <f t="shared" si="163"/>
        <v>4.4750252460425574E-19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-1.1368683772161603E-13</v>
      </c>
      <c r="AJ162" s="14">
        <f>AI162*VLOOKUP('Données projet'!$B$10,Paramètres!$A$1:$I$89,3,0)*VLOOKUP('Données projet'!$B$10,Paramètres!$A$1:$I$89,5,0)</f>
        <v>-1.0818439477588981E-13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449.16408464351673</v>
      </c>
      <c r="AO162" s="62">
        <f t="shared" si="144"/>
        <v>290.39826583283588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4.7064920691137269E-19</v>
      </c>
      <c r="AX162" s="23">
        <f t="shared" si="166"/>
        <v>4.7064920691137269E-19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-1.1368683772161603E-13</v>
      </c>
      <c r="BE162" s="14">
        <f>BD162*VLOOKUP('Données projet'!$B$11,Paramètres!$A$1:$I$89,3,0)*VLOOKUP('Données projet'!$B$11,Paramètres!$A$1:$I$89,5,0)</f>
        <v>-1.0995790944434703E-13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455.85294519779609</v>
      </c>
      <c r="BJ162" s="62">
        <f t="shared" si="146"/>
        <v>294.45557293177131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4.7836476768041145E-19</v>
      </c>
      <c r="BS162" s="24">
        <f t="shared" si="169"/>
        <v>4.7836476768041145E-19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5.6843418860808015E-14</v>
      </c>
      <c r="BZ162" s="14">
        <f>BY162*VLOOKUP('Données projet'!$B$12,Paramètres!$A$1:$I$89,3,0)*VLOOKUP('Données projet'!$B$12,Paramètres!$A$1:$I$89,5,0)</f>
        <v>4.9658410716801891E-14</v>
      </c>
      <c r="CA162" s="14">
        <f t="shared" si="170"/>
        <v>8.0934058173791862E-13</v>
      </c>
      <c r="CB162" s="22">
        <f t="shared" si="171"/>
        <v>1.4960899118586383E-12</v>
      </c>
      <c r="CC162" s="62">
        <f t="shared" si="119"/>
        <v>293.33333333333479</v>
      </c>
      <c r="CD162" s="62">
        <f ca="1">AVERAGE(OFFSET($CC$3,0,0,'Données projet'!$E$12+1,1))-AVERAGE(OFFSET($H$3,0,0,'Données projet'!$E$12+1,1))</f>
        <v>304.32767345253382</v>
      </c>
      <c r="CE162" s="62">
        <f t="shared" si="148"/>
        <v>427.16091343339173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-5.6843418860808015E-14</v>
      </c>
      <c r="CU162" s="18">
        <f>CT162*VLOOKUP('Données projet'!$B$13,Paramètres!$A$1:$I$89,3,0)*VLOOKUP('Données projet'!$B$13,Paramètres!$A$1:$I$89,5,0)</f>
        <v>-5.1431925385259088E-14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350.06545824795847</v>
      </c>
      <c r="CZ162" s="62">
        <f t="shared" si="150"/>
        <v>513.80016421153414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-1.1368683772161603E-13</v>
      </c>
      <c r="DP162" s="18">
        <f>DO162*VLOOKUP('Données projet'!$B$14,Paramètres!$A$1:$I$89,3,0)*VLOOKUP('Données projet'!$B$14,Paramètres!$A$1:$I$89,5,0)</f>
        <v>-9.0449248091317723E-14</v>
      </c>
      <c r="DQ162" s="14" t="e">
        <f t="shared" si="176"/>
        <v>#NUM!</v>
      </c>
      <c r="DR162" s="22" t="e">
        <f t="shared" si="177"/>
        <v>#NUM!</v>
      </c>
      <c r="DS162" s="62" t="e">
        <f t="shared" si="125"/>
        <v>#NUM!</v>
      </c>
      <c r="DT162" s="62">
        <f ca="1">AVERAGE(OFFSET($DS$3,0,0,'Données projet'!$E$14+1,1))-AVERAGE(OFFSET($H$3,0,0,'Données projet'!$E$14+1,1))</f>
        <v>382.14353215900121</v>
      </c>
      <c r="DU162" s="62">
        <f t="shared" si="152"/>
        <v>249.73945975250177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3.9349359922098381E-19</v>
      </c>
      <c r="ED162" s="24">
        <f t="shared" si="178"/>
        <v>3.9349359922098381E-19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-1.1368683772161603E-13</v>
      </c>
      <c r="O163" s="14">
        <f>N163*VLOOKUP('Données projet'!$B$9,Paramètres!$A$1:$I$89,3,0)*VLOOKUP('Données projet'!$B$9,Paramètres!$A$1:$I$89,5,0)</f>
        <v>-1.0286385077051818E-13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429.08375622925655</v>
      </c>
      <c r="T163" s="62">
        <f t="shared" si="142"/>
        <v>278.21741231699929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3.1643206974576908E-19</v>
      </c>
      <c r="AC163" s="24">
        <f t="shared" si="163"/>
        <v>3.1643206974576908E-19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-1.1368683772161603E-13</v>
      </c>
      <c r="AJ163" s="14">
        <f>AI163*VLOOKUP('Données projet'!$B$10,Paramètres!$A$1:$I$89,3,0)*VLOOKUP('Données projet'!$B$10,Paramètres!$A$1:$I$89,5,0)</f>
        <v>-1.0818439477588981E-13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449.16408464351673</v>
      </c>
      <c r="AO163" s="62">
        <f t="shared" si="144"/>
        <v>290.39826583283588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3.3279924576710215E-19</v>
      </c>
      <c r="AX163" s="23">
        <f t="shared" si="166"/>
        <v>3.3279924576710215E-19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-1.1368683772161603E-13</v>
      </c>
      <c r="BE163" s="14">
        <f>BD163*VLOOKUP('Données projet'!$B$11,Paramètres!$A$1:$I$89,3,0)*VLOOKUP('Données projet'!$B$11,Paramètres!$A$1:$I$89,5,0)</f>
        <v>-1.0995790944434703E-13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455.85294519779609</v>
      </c>
      <c r="BJ163" s="62">
        <f t="shared" si="146"/>
        <v>294.45557293177131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3.3825497110754634E-19</v>
      </c>
      <c r="BS163" s="24">
        <f t="shared" si="169"/>
        <v>3.3825497110754634E-19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5.6843418860808015E-14</v>
      </c>
      <c r="BZ163" s="14">
        <f>BY163*VLOOKUP('Données projet'!$B$12,Paramètres!$A$1:$I$89,3,0)*VLOOKUP('Données projet'!$B$12,Paramètres!$A$1:$I$89,5,0)</f>
        <v>4.9658410716801891E-14</v>
      </c>
      <c r="CA163" s="14">
        <f t="shared" si="170"/>
        <v>8.0934058173791862E-13</v>
      </c>
      <c r="CB163" s="22">
        <f t="shared" si="171"/>
        <v>1.4960899118586383E-12</v>
      </c>
      <c r="CC163" s="62">
        <f t="shared" si="119"/>
        <v>293.33333333333479</v>
      </c>
      <c r="CD163" s="62">
        <f ca="1">AVERAGE(OFFSET($CC$3,0,0,'Données projet'!$E$12+1,1))-AVERAGE(OFFSET($H$3,0,0,'Données projet'!$E$12+1,1))</f>
        <v>304.32767345253382</v>
      </c>
      <c r="CE163" s="62">
        <f t="shared" si="148"/>
        <v>427.16091343339173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-5.6843418860808015E-14</v>
      </c>
      <c r="CU163" s="18">
        <f>CT163*VLOOKUP('Données projet'!$B$13,Paramètres!$A$1:$I$89,3,0)*VLOOKUP('Données projet'!$B$13,Paramètres!$A$1:$I$89,5,0)</f>
        <v>-5.1431925385259088E-14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350.06545824795847</v>
      </c>
      <c r="CZ163" s="62">
        <f t="shared" si="150"/>
        <v>513.80016421153414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-1.1368683772161603E-13</v>
      </c>
      <c r="DP163" s="18">
        <f>DO163*VLOOKUP('Données projet'!$B$14,Paramètres!$A$1:$I$89,3,0)*VLOOKUP('Données projet'!$B$14,Paramètres!$A$1:$I$89,5,0)</f>
        <v>-9.0449248091317723E-14</v>
      </c>
      <c r="DQ163" s="14" t="e">
        <f t="shared" si="176"/>
        <v>#NUM!</v>
      </c>
      <c r="DR163" s="22" t="e">
        <f t="shared" si="177"/>
        <v>#NUM!</v>
      </c>
      <c r="DS163" s="62" t="e">
        <f t="shared" si="125"/>
        <v>#NUM!</v>
      </c>
      <c r="DT163" s="62">
        <f ca="1">AVERAGE(OFFSET($DS$3,0,0,'Données projet'!$E$14+1,1))-AVERAGE(OFFSET($H$3,0,0,'Données projet'!$E$14+1,1))</f>
        <v>382.14353215900121</v>
      </c>
      <c r="DU163" s="62">
        <f t="shared" si="152"/>
        <v>249.73945975250177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2.7824199236265923E-19</v>
      </c>
      <c r="ED163" s="24">
        <f t="shared" si="178"/>
        <v>2.7824199236265923E-19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-1.1368683772161603E-13</v>
      </c>
      <c r="O164" s="14">
        <f>N164*VLOOKUP('Données projet'!$B$9,Paramètres!$A$1:$I$89,3,0)*VLOOKUP('Données projet'!$B$9,Paramètres!$A$1:$I$89,5,0)</f>
        <v>-1.0286385077051818E-13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429.08375622925655</v>
      </c>
      <c r="T164" s="62">
        <f t="shared" si="142"/>
        <v>278.21741231699929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2.2375126230212787E-19</v>
      </c>
      <c r="AC164" s="24">
        <f t="shared" si="163"/>
        <v>2.2375126230212787E-19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-1.1368683772161603E-13</v>
      </c>
      <c r="AJ164" s="14">
        <f>AI164*VLOOKUP('Données projet'!$B$10,Paramètres!$A$1:$I$89,3,0)*VLOOKUP('Données projet'!$B$10,Paramètres!$A$1:$I$89,5,0)</f>
        <v>-1.0818439477588981E-13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449.16408464351673</v>
      </c>
      <c r="AO164" s="62">
        <f t="shared" si="144"/>
        <v>290.39826583283588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2.3532460345568634E-19</v>
      </c>
      <c r="AX164" s="23">
        <f t="shared" si="166"/>
        <v>2.3532460345568634E-19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-1.1368683772161603E-13</v>
      </c>
      <c r="BE164" s="14">
        <f>BD164*VLOOKUP('Données projet'!$B$11,Paramètres!$A$1:$I$89,3,0)*VLOOKUP('Données projet'!$B$11,Paramètres!$A$1:$I$89,5,0)</f>
        <v>-1.0995790944434703E-13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455.85294519779609</v>
      </c>
      <c r="BJ164" s="62">
        <f t="shared" si="146"/>
        <v>294.45557293177131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2.3918238384020572E-19</v>
      </c>
      <c r="BS164" s="24">
        <f t="shared" si="169"/>
        <v>2.3918238384020572E-19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5.6843418860808015E-14</v>
      </c>
      <c r="BZ164" s="14">
        <f>BY164*VLOOKUP('Données projet'!$B$12,Paramètres!$A$1:$I$89,3,0)*VLOOKUP('Données projet'!$B$12,Paramètres!$A$1:$I$89,5,0)</f>
        <v>4.9658410716801891E-14</v>
      </c>
      <c r="CA164" s="14">
        <f t="shared" si="170"/>
        <v>8.0934058173791862E-13</v>
      </c>
      <c r="CB164" s="22">
        <f t="shared" si="171"/>
        <v>1.4960899118586383E-12</v>
      </c>
      <c r="CC164" s="62">
        <f t="shared" si="119"/>
        <v>293.33333333333479</v>
      </c>
      <c r="CD164" s="62">
        <f ca="1">AVERAGE(OFFSET($CC$3,0,0,'Données projet'!$E$12+1,1))-AVERAGE(OFFSET($H$3,0,0,'Données projet'!$E$12+1,1))</f>
        <v>304.32767345253382</v>
      </c>
      <c r="CE164" s="62">
        <f t="shared" si="148"/>
        <v>427.16091343339173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-5.6843418860808015E-14</v>
      </c>
      <c r="CU164" s="18">
        <f>CT164*VLOOKUP('Données projet'!$B$13,Paramètres!$A$1:$I$89,3,0)*VLOOKUP('Données projet'!$B$13,Paramètres!$A$1:$I$89,5,0)</f>
        <v>-5.1431925385259088E-14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350.06545824795847</v>
      </c>
      <c r="CZ164" s="62">
        <f t="shared" si="150"/>
        <v>513.80016421153414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-1.1368683772161603E-13</v>
      </c>
      <c r="DP164" s="18">
        <f>DO164*VLOOKUP('Données projet'!$B$14,Paramètres!$A$1:$I$89,3,0)*VLOOKUP('Données projet'!$B$14,Paramètres!$A$1:$I$89,5,0)</f>
        <v>-9.0449248091317723E-14</v>
      </c>
      <c r="DQ164" s="14" t="e">
        <f t="shared" si="176"/>
        <v>#NUM!</v>
      </c>
      <c r="DR164" s="22" t="e">
        <f t="shared" si="177"/>
        <v>#NUM!</v>
      </c>
      <c r="DS164" s="62" t="e">
        <f t="shared" si="125"/>
        <v>#NUM!</v>
      </c>
      <c r="DT164" s="62">
        <f ca="1">AVERAGE(OFFSET($DS$3,0,0,'Données projet'!$E$14+1,1))-AVERAGE(OFFSET($H$3,0,0,'Données projet'!$E$14+1,1))</f>
        <v>382.14353215900121</v>
      </c>
      <c r="DU164" s="62">
        <f t="shared" si="152"/>
        <v>249.73945975250177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1.9674679961049191E-19</v>
      </c>
      <c r="ED164" s="24">
        <f t="shared" si="178"/>
        <v>1.9674679961049191E-19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-1.1368683772161603E-13</v>
      </c>
      <c r="O165" s="14">
        <f>N165*VLOOKUP('Données projet'!$B$9,Paramètres!$A$1:$I$89,3,0)*VLOOKUP('Données projet'!$B$9,Paramètres!$A$1:$I$89,5,0)</f>
        <v>-1.0286385077051818E-13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429.08375622925655</v>
      </c>
      <c r="T165" s="62">
        <f t="shared" si="142"/>
        <v>278.21741231699929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1.5821603487288454E-19</v>
      </c>
      <c r="AC165" s="24">
        <f t="shared" si="163"/>
        <v>1.5821603487288454E-19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-1.1368683772161603E-13</v>
      </c>
      <c r="AJ165" s="14">
        <f>AI165*VLOOKUP('Données projet'!$B$10,Paramètres!$A$1:$I$89,3,0)*VLOOKUP('Données projet'!$B$10,Paramètres!$A$1:$I$89,5,0)</f>
        <v>-1.0818439477588981E-13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449.16408464351673</v>
      </c>
      <c r="AO165" s="62">
        <f t="shared" si="144"/>
        <v>290.39826583283588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1.6639962288355107E-19</v>
      </c>
      <c r="AX165" s="23">
        <f t="shared" si="166"/>
        <v>1.6639962288355107E-19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-1.1368683772161603E-13</v>
      </c>
      <c r="BE165" s="14">
        <f>BD165*VLOOKUP('Données projet'!$B$11,Paramètres!$A$1:$I$89,3,0)*VLOOKUP('Données projet'!$B$11,Paramètres!$A$1:$I$89,5,0)</f>
        <v>-1.0995790944434703E-13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455.85294519779609</v>
      </c>
      <c r="BJ165" s="62">
        <f t="shared" si="146"/>
        <v>294.45557293177131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1.6912748555377317E-19</v>
      </c>
      <c r="BS165" s="24">
        <f t="shared" si="169"/>
        <v>1.6912748555377317E-19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5.6843418860808015E-14</v>
      </c>
      <c r="BZ165" s="14">
        <f>BY165*VLOOKUP('Données projet'!$B$12,Paramètres!$A$1:$I$89,3,0)*VLOOKUP('Données projet'!$B$12,Paramètres!$A$1:$I$89,5,0)</f>
        <v>4.9658410716801891E-14</v>
      </c>
      <c r="CA165" s="14">
        <f t="shared" si="170"/>
        <v>8.0934058173791862E-13</v>
      </c>
      <c r="CB165" s="22">
        <f t="shared" si="171"/>
        <v>1.4960899118586383E-12</v>
      </c>
      <c r="CC165" s="62">
        <f t="shared" si="119"/>
        <v>293.33333333333479</v>
      </c>
      <c r="CD165" s="62">
        <f ca="1">AVERAGE(OFFSET($CC$3,0,0,'Données projet'!$E$12+1,1))-AVERAGE(OFFSET($H$3,0,0,'Données projet'!$E$12+1,1))</f>
        <v>304.32767345253382</v>
      </c>
      <c r="CE165" s="62">
        <f t="shared" si="148"/>
        <v>427.16091343339173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-5.6843418860808015E-14</v>
      </c>
      <c r="CU165" s="18">
        <f>CT165*VLOOKUP('Données projet'!$B$13,Paramètres!$A$1:$I$89,3,0)*VLOOKUP('Données projet'!$B$13,Paramètres!$A$1:$I$89,5,0)</f>
        <v>-5.1431925385259088E-14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350.06545824795847</v>
      </c>
      <c r="CZ165" s="62">
        <f t="shared" si="150"/>
        <v>513.80016421153414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-1.1368683772161603E-13</v>
      </c>
      <c r="DP165" s="18">
        <f>DO165*VLOOKUP('Données projet'!$B$14,Paramètres!$A$1:$I$89,3,0)*VLOOKUP('Données projet'!$B$14,Paramètres!$A$1:$I$89,5,0)</f>
        <v>-9.0449248091317723E-14</v>
      </c>
      <c r="DQ165" s="14" t="e">
        <f t="shared" si="176"/>
        <v>#NUM!</v>
      </c>
      <c r="DR165" s="22" t="e">
        <f t="shared" si="177"/>
        <v>#NUM!</v>
      </c>
      <c r="DS165" s="62" t="e">
        <f t="shared" si="125"/>
        <v>#NUM!</v>
      </c>
      <c r="DT165" s="62">
        <f ca="1">AVERAGE(OFFSET($DS$3,0,0,'Données projet'!$E$14+1,1))-AVERAGE(OFFSET($H$3,0,0,'Données projet'!$E$14+1,1))</f>
        <v>382.14353215900121</v>
      </c>
      <c r="DU165" s="62">
        <f t="shared" si="152"/>
        <v>249.73945975250177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1.3912099618132961E-19</v>
      </c>
      <c r="ED165" s="24">
        <f t="shared" si="178"/>
        <v>1.3912099618132961E-19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-1.1368683772161603E-13</v>
      </c>
      <c r="O166" s="14">
        <f>N166*VLOOKUP('Données projet'!$B$9,Paramètres!$A$1:$I$89,3,0)*VLOOKUP('Données projet'!$B$9,Paramètres!$A$1:$I$89,5,0)</f>
        <v>-1.0286385077051818E-13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429.08375622925655</v>
      </c>
      <c r="T166" s="62">
        <f t="shared" si="142"/>
        <v>278.21741231699929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1.1187563115106394E-19</v>
      </c>
      <c r="AC166" s="24">
        <f t="shared" si="163"/>
        <v>1.1187563115106394E-19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-1.1368683772161603E-13</v>
      </c>
      <c r="AJ166" s="14">
        <f>AI166*VLOOKUP('Données projet'!$B$10,Paramètres!$A$1:$I$89,3,0)*VLOOKUP('Données projet'!$B$10,Paramètres!$A$1:$I$89,5,0)</f>
        <v>-1.0818439477588981E-13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449.16408464351673</v>
      </c>
      <c r="AO166" s="62">
        <f t="shared" si="144"/>
        <v>290.39826583283588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1.1766230172784317E-19</v>
      </c>
      <c r="AX166" s="23">
        <f t="shared" si="166"/>
        <v>1.1766230172784317E-19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-1.1368683772161603E-13</v>
      </c>
      <c r="BE166" s="14">
        <f>BD166*VLOOKUP('Données projet'!$B$11,Paramètres!$A$1:$I$89,3,0)*VLOOKUP('Données projet'!$B$11,Paramètres!$A$1:$I$89,5,0)</f>
        <v>-1.0995790944434703E-13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455.85294519779609</v>
      </c>
      <c r="BJ166" s="62">
        <f t="shared" si="146"/>
        <v>294.45557293177131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1.1959119192010286E-19</v>
      </c>
      <c r="BS166" s="24">
        <f t="shared" si="169"/>
        <v>1.1959119192010286E-19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5.6843418860808015E-14</v>
      </c>
      <c r="BZ166" s="14">
        <f>BY166*VLOOKUP('Données projet'!$B$12,Paramètres!$A$1:$I$89,3,0)*VLOOKUP('Données projet'!$B$12,Paramètres!$A$1:$I$89,5,0)</f>
        <v>4.9658410716801891E-14</v>
      </c>
      <c r="CA166" s="14">
        <f t="shared" si="170"/>
        <v>8.0934058173791862E-13</v>
      </c>
      <c r="CB166" s="22">
        <f t="shared" si="171"/>
        <v>1.4960899118586383E-12</v>
      </c>
      <c r="CC166" s="62">
        <f t="shared" si="119"/>
        <v>293.33333333333479</v>
      </c>
      <c r="CD166" s="62">
        <f ca="1">AVERAGE(OFFSET($CC$3,0,0,'Données projet'!$E$12+1,1))-AVERAGE(OFFSET($H$3,0,0,'Données projet'!$E$12+1,1))</f>
        <v>304.32767345253382</v>
      </c>
      <c r="CE166" s="62">
        <f t="shared" si="148"/>
        <v>427.16091343339173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-5.6843418860808015E-14</v>
      </c>
      <c r="CU166" s="18">
        <f>CT166*VLOOKUP('Données projet'!$B$13,Paramètres!$A$1:$I$89,3,0)*VLOOKUP('Données projet'!$B$13,Paramètres!$A$1:$I$89,5,0)</f>
        <v>-5.1431925385259088E-14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350.06545824795847</v>
      </c>
      <c r="CZ166" s="62">
        <f t="shared" si="150"/>
        <v>513.80016421153414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-1.1368683772161603E-13</v>
      </c>
      <c r="DP166" s="18">
        <f>DO166*VLOOKUP('Données projet'!$B$14,Paramètres!$A$1:$I$89,3,0)*VLOOKUP('Données projet'!$B$14,Paramètres!$A$1:$I$89,5,0)</f>
        <v>-9.0449248091317723E-14</v>
      </c>
      <c r="DQ166" s="14" t="e">
        <f t="shared" si="176"/>
        <v>#NUM!</v>
      </c>
      <c r="DR166" s="22" t="e">
        <f t="shared" si="177"/>
        <v>#NUM!</v>
      </c>
      <c r="DS166" s="62" t="e">
        <f t="shared" si="125"/>
        <v>#NUM!</v>
      </c>
      <c r="DT166" s="62">
        <f ca="1">AVERAGE(OFFSET($DS$3,0,0,'Données projet'!$E$14+1,1))-AVERAGE(OFFSET($H$3,0,0,'Données projet'!$E$14+1,1))</f>
        <v>382.14353215900121</v>
      </c>
      <c r="DU166" s="62">
        <f t="shared" si="152"/>
        <v>249.73945975250177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9.8373399805245953E-20</v>
      </c>
      <c r="ED166" s="24">
        <f t="shared" si="178"/>
        <v>9.8373399805245953E-20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-1.1368683772161603E-13</v>
      </c>
      <c r="O167" s="14">
        <f>N167*VLOOKUP('Données projet'!$B$9,Paramètres!$A$1:$I$89,3,0)*VLOOKUP('Données projet'!$B$9,Paramètres!$A$1:$I$89,5,0)</f>
        <v>-1.0286385077051818E-13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429.08375622925655</v>
      </c>
      <c r="T167" s="62">
        <f t="shared" si="142"/>
        <v>278.21741231699929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7.9108017436442269E-20</v>
      </c>
      <c r="AC167" s="24">
        <f t="shared" si="163"/>
        <v>7.9108017436442269E-20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-1.1368683772161603E-13</v>
      </c>
      <c r="AJ167" s="14">
        <f>AI167*VLOOKUP('Données projet'!$B$10,Paramètres!$A$1:$I$89,3,0)*VLOOKUP('Données projet'!$B$10,Paramètres!$A$1:$I$89,5,0)</f>
        <v>-1.0818439477588981E-13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449.16408464351673</v>
      </c>
      <c r="AO167" s="62">
        <f t="shared" si="144"/>
        <v>290.39826583283588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8.3199811441775536E-20</v>
      </c>
      <c r="AX167" s="23">
        <f t="shared" si="166"/>
        <v>8.3199811441775536E-20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-1.1368683772161603E-13</v>
      </c>
      <c r="BE167" s="14">
        <f>BD167*VLOOKUP('Données projet'!$B$11,Paramètres!$A$1:$I$89,3,0)*VLOOKUP('Données projet'!$B$11,Paramètres!$A$1:$I$89,5,0)</f>
        <v>-1.0995790944434703E-13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455.85294519779609</v>
      </c>
      <c r="BJ167" s="62">
        <f t="shared" si="146"/>
        <v>294.45557293177131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8.4563742776886585E-20</v>
      </c>
      <c r="BS167" s="24">
        <f t="shared" si="169"/>
        <v>8.4563742776886585E-20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5.6843418860808015E-14</v>
      </c>
      <c r="BZ167" s="14">
        <f>BY167*VLOOKUP('Données projet'!$B$12,Paramètres!$A$1:$I$89,3,0)*VLOOKUP('Données projet'!$B$12,Paramètres!$A$1:$I$89,5,0)</f>
        <v>4.9658410716801891E-14</v>
      </c>
      <c r="CA167" s="14">
        <f t="shared" si="170"/>
        <v>8.0934058173791862E-13</v>
      </c>
      <c r="CB167" s="22">
        <f t="shared" si="171"/>
        <v>1.4960899118586383E-12</v>
      </c>
      <c r="CC167" s="62">
        <f t="shared" si="119"/>
        <v>293.33333333333479</v>
      </c>
      <c r="CD167" s="62">
        <f ca="1">AVERAGE(OFFSET($CC$3,0,0,'Données projet'!$E$12+1,1))-AVERAGE(OFFSET($H$3,0,0,'Données projet'!$E$12+1,1))</f>
        <v>304.32767345253382</v>
      </c>
      <c r="CE167" s="62">
        <f t="shared" si="148"/>
        <v>427.16091343339173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-5.6843418860808015E-14</v>
      </c>
      <c r="CU167" s="18">
        <f>CT167*VLOOKUP('Données projet'!$B$13,Paramètres!$A$1:$I$89,3,0)*VLOOKUP('Données projet'!$B$13,Paramètres!$A$1:$I$89,5,0)</f>
        <v>-5.1431925385259088E-14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350.06545824795847</v>
      </c>
      <c r="CZ167" s="62">
        <f t="shared" si="150"/>
        <v>513.80016421153414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-1.1368683772161603E-13</v>
      </c>
      <c r="DP167" s="18">
        <f>DO167*VLOOKUP('Données projet'!$B$14,Paramètres!$A$1:$I$89,3,0)*VLOOKUP('Données projet'!$B$14,Paramètres!$A$1:$I$89,5,0)</f>
        <v>-9.0449248091317723E-14</v>
      </c>
      <c r="DQ167" s="14" t="e">
        <f t="shared" si="176"/>
        <v>#NUM!</v>
      </c>
      <c r="DR167" s="22" t="e">
        <f t="shared" si="177"/>
        <v>#NUM!</v>
      </c>
      <c r="DS167" s="62" t="e">
        <f t="shared" si="125"/>
        <v>#NUM!</v>
      </c>
      <c r="DT167" s="62">
        <f ca="1">AVERAGE(OFFSET($DS$3,0,0,'Données projet'!$E$14+1,1))-AVERAGE(OFFSET($H$3,0,0,'Données projet'!$E$14+1,1))</f>
        <v>382.14353215900121</v>
      </c>
      <c r="DU167" s="62">
        <f t="shared" si="152"/>
        <v>249.73945975250177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6.9560498090664806E-20</v>
      </c>
      <c r="ED167" s="24">
        <f t="shared" si="178"/>
        <v>6.9560498090664806E-20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-1.1368683772161603E-13</v>
      </c>
      <c r="O168" s="14">
        <f>N168*VLOOKUP('Données projet'!$B$9,Paramètres!$A$1:$I$89,3,0)*VLOOKUP('Données projet'!$B$9,Paramètres!$A$1:$I$89,5,0)</f>
        <v>-1.0286385077051818E-13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429.08375622925655</v>
      </c>
      <c r="T168" s="62">
        <f t="shared" si="142"/>
        <v>278.21741231699929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5.5937815575531968E-20</v>
      </c>
      <c r="AC168" s="24">
        <f t="shared" si="163"/>
        <v>5.5937815575531968E-20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-1.1368683772161603E-13</v>
      </c>
      <c r="AJ168" s="14">
        <f>AI168*VLOOKUP('Données projet'!$B$10,Paramètres!$A$1:$I$89,3,0)*VLOOKUP('Données projet'!$B$10,Paramètres!$A$1:$I$89,5,0)</f>
        <v>-1.0818439477588981E-13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449.16408464351673</v>
      </c>
      <c r="AO168" s="62">
        <f t="shared" si="144"/>
        <v>290.39826583283588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5.8831150863921586E-20</v>
      </c>
      <c r="AX168" s="23">
        <f t="shared" si="166"/>
        <v>5.8831150863921586E-20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-1.1368683772161603E-13</v>
      </c>
      <c r="BE168" s="14">
        <f>BD168*VLOOKUP('Données projet'!$B$11,Paramètres!$A$1:$I$89,3,0)*VLOOKUP('Données projet'!$B$11,Paramètres!$A$1:$I$89,5,0)</f>
        <v>-1.0995790944434703E-13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455.85294519779609</v>
      </c>
      <c r="BJ168" s="62">
        <f t="shared" si="146"/>
        <v>294.45557293177131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5.9795595960051431E-20</v>
      </c>
      <c r="BS168" s="24">
        <f t="shared" si="169"/>
        <v>5.9795595960051431E-20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5.6843418860808015E-14</v>
      </c>
      <c r="BZ168" s="14">
        <f>BY168*VLOOKUP('Données projet'!$B$12,Paramètres!$A$1:$I$89,3,0)*VLOOKUP('Données projet'!$B$12,Paramètres!$A$1:$I$89,5,0)</f>
        <v>4.9658410716801891E-14</v>
      </c>
      <c r="CA168" s="14">
        <f t="shared" si="170"/>
        <v>8.0934058173791862E-13</v>
      </c>
      <c r="CB168" s="22">
        <f t="shared" si="171"/>
        <v>1.4960899118586383E-12</v>
      </c>
      <c r="CC168" s="62">
        <f t="shared" si="119"/>
        <v>293.33333333333479</v>
      </c>
      <c r="CD168" s="62">
        <f ca="1">AVERAGE(OFFSET($CC$3,0,0,'Données projet'!$E$12+1,1))-AVERAGE(OFFSET($H$3,0,0,'Données projet'!$E$12+1,1))</f>
        <v>304.32767345253382</v>
      </c>
      <c r="CE168" s="62">
        <f t="shared" si="148"/>
        <v>427.16091343339173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-5.6843418860808015E-14</v>
      </c>
      <c r="CU168" s="18">
        <f>CT168*VLOOKUP('Données projet'!$B$13,Paramètres!$A$1:$I$89,3,0)*VLOOKUP('Données projet'!$B$13,Paramètres!$A$1:$I$89,5,0)</f>
        <v>-5.1431925385259088E-14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350.06545824795847</v>
      </c>
      <c r="CZ168" s="62">
        <f t="shared" si="150"/>
        <v>513.80016421153414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-1.1368683772161603E-13</v>
      </c>
      <c r="DP168" s="18">
        <f>DO168*VLOOKUP('Données projet'!$B$14,Paramètres!$A$1:$I$89,3,0)*VLOOKUP('Données projet'!$B$14,Paramètres!$A$1:$I$89,5,0)</f>
        <v>-9.0449248091317723E-14</v>
      </c>
      <c r="DQ168" s="14" t="e">
        <f t="shared" si="176"/>
        <v>#NUM!</v>
      </c>
      <c r="DR168" s="22" t="e">
        <f t="shared" si="177"/>
        <v>#NUM!</v>
      </c>
      <c r="DS168" s="62" t="e">
        <f t="shared" si="125"/>
        <v>#NUM!</v>
      </c>
      <c r="DT168" s="62">
        <f ca="1">AVERAGE(OFFSET($DS$3,0,0,'Données projet'!$E$14+1,1))-AVERAGE(OFFSET($H$3,0,0,'Données projet'!$E$14+1,1))</f>
        <v>382.14353215900121</v>
      </c>
      <c r="DU168" s="62">
        <f t="shared" si="152"/>
        <v>249.73945975250177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4.9186699902622977E-20</v>
      </c>
      <c r="ED168" s="24">
        <f t="shared" si="178"/>
        <v>4.9186699902622977E-20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-1.1368683772161603E-13</v>
      </c>
      <c r="O169" s="14">
        <f>N169*VLOOKUP('Données projet'!$B$9,Paramètres!$A$1:$I$89,3,0)*VLOOKUP('Données projet'!$B$9,Paramètres!$A$1:$I$89,5,0)</f>
        <v>-1.0286385077051818E-13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429.08375622925655</v>
      </c>
      <c r="T169" s="62">
        <f t="shared" si="142"/>
        <v>278.21741231699929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3.9554008718221135E-20</v>
      </c>
      <c r="AC169" s="24">
        <f t="shared" si="163"/>
        <v>3.9554008718221135E-20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-1.1368683772161603E-13</v>
      </c>
      <c r="AJ169" s="14">
        <f>AI169*VLOOKUP('Données projet'!$B$10,Paramètres!$A$1:$I$89,3,0)*VLOOKUP('Données projet'!$B$10,Paramètres!$A$1:$I$89,5,0)</f>
        <v>-1.0818439477588981E-13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449.16408464351673</v>
      </c>
      <c r="AO169" s="62">
        <f t="shared" si="144"/>
        <v>290.39826583283588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4.1599905720887768E-20</v>
      </c>
      <c r="AX169" s="23">
        <f t="shared" si="166"/>
        <v>4.1599905720887768E-20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-1.1368683772161603E-13</v>
      </c>
      <c r="BE169" s="14">
        <f>BD169*VLOOKUP('Données projet'!$B$11,Paramètres!$A$1:$I$89,3,0)*VLOOKUP('Données projet'!$B$11,Paramètres!$A$1:$I$89,5,0)</f>
        <v>-1.0995790944434703E-13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455.85294519779609</v>
      </c>
      <c r="BJ169" s="62">
        <f t="shared" si="146"/>
        <v>294.45557293177131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4.2281871388443293E-20</v>
      </c>
      <c r="BS169" s="24">
        <f t="shared" si="169"/>
        <v>4.2281871388443293E-20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5.6843418860808015E-14</v>
      </c>
      <c r="BZ169" s="14">
        <f>BY169*VLOOKUP('Données projet'!$B$12,Paramètres!$A$1:$I$89,3,0)*VLOOKUP('Données projet'!$B$12,Paramètres!$A$1:$I$89,5,0)</f>
        <v>4.9658410716801891E-14</v>
      </c>
      <c r="CA169" s="14">
        <f t="shared" si="170"/>
        <v>8.0934058173791862E-13</v>
      </c>
      <c r="CB169" s="22">
        <f t="shared" si="171"/>
        <v>1.4960899118586383E-12</v>
      </c>
      <c r="CC169" s="62">
        <f t="shared" si="119"/>
        <v>293.33333333333479</v>
      </c>
      <c r="CD169" s="62">
        <f ca="1">AVERAGE(OFFSET($CC$3,0,0,'Données projet'!$E$12+1,1))-AVERAGE(OFFSET($H$3,0,0,'Données projet'!$E$12+1,1))</f>
        <v>304.32767345253382</v>
      </c>
      <c r="CE169" s="62">
        <f t="shared" si="148"/>
        <v>427.16091343339173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-5.6843418860808015E-14</v>
      </c>
      <c r="CU169" s="18">
        <f>CT169*VLOOKUP('Données projet'!$B$13,Paramètres!$A$1:$I$89,3,0)*VLOOKUP('Données projet'!$B$13,Paramètres!$A$1:$I$89,5,0)</f>
        <v>-5.1431925385259088E-14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350.06545824795847</v>
      </c>
      <c r="CZ169" s="62">
        <f t="shared" si="150"/>
        <v>513.80016421153414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-1.1368683772161603E-13</v>
      </c>
      <c r="DP169" s="18">
        <f>DO169*VLOOKUP('Données projet'!$B$14,Paramètres!$A$1:$I$89,3,0)*VLOOKUP('Données projet'!$B$14,Paramètres!$A$1:$I$89,5,0)</f>
        <v>-9.0449248091317723E-14</v>
      </c>
      <c r="DQ169" s="14" t="e">
        <f t="shared" si="176"/>
        <v>#NUM!</v>
      </c>
      <c r="DR169" s="22" t="e">
        <f t="shared" si="177"/>
        <v>#NUM!</v>
      </c>
      <c r="DS169" s="62" t="e">
        <f t="shared" si="125"/>
        <v>#NUM!</v>
      </c>
      <c r="DT169" s="62">
        <f ca="1">AVERAGE(OFFSET($DS$3,0,0,'Données projet'!$E$14+1,1))-AVERAGE(OFFSET($H$3,0,0,'Données projet'!$E$14+1,1))</f>
        <v>382.14353215900121</v>
      </c>
      <c r="DU169" s="62">
        <f t="shared" si="152"/>
        <v>249.73945975250177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3.4780249045332403E-20</v>
      </c>
      <c r="ED169" s="24">
        <f t="shared" si="178"/>
        <v>3.4780249045332403E-20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-1.1368683772161603E-13</v>
      </c>
      <c r="O170" s="14">
        <f>N170*VLOOKUP('Données projet'!$B$9,Paramètres!$A$1:$I$89,3,0)*VLOOKUP('Données projet'!$B$9,Paramètres!$A$1:$I$89,5,0)</f>
        <v>-1.0286385077051818E-13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429.08375622925655</v>
      </c>
      <c r="T170" s="62">
        <f t="shared" si="142"/>
        <v>278.21741231699929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2.7968907787765984E-20</v>
      </c>
      <c r="AC170" s="24">
        <f t="shared" si="163"/>
        <v>2.7968907787765984E-20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-1.1368683772161603E-13</v>
      </c>
      <c r="AJ170" s="14">
        <f>AI170*VLOOKUP('Données projet'!$B$10,Paramètres!$A$1:$I$89,3,0)*VLOOKUP('Données projet'!$B$10,Paramètres!$A$1:$I$89,5,0)</f>
        <v>-1.0818439477588981E-13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449.16408464351673</v>
      </c>
      <c r="AO170" s="62">
        <f t="shared" si="144"/>
        <v>290.39826583283588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2.9415575431960793E-20</v>
      </c>
      <c r="AX170" s="23">
        <f t="shared" si="166"/>
        <v>2.9415575431960793E-20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-1.1368683772161603E-13</v>
      </c>
      <c r="BE170" s="14">
        <f>BD170*VLOOKUP('Données projet'!$B$11,Paramètres!$A$1:$I$89,3,0)*VLOOKUP('Données projet'!$B$11,Paramètres!$A$1:$I$89,5,0)</f>
        <v>-1.0995790944434703E-13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455.85294519779609</v>
      </c>
      <c r="BJ170" s="62">
        <f t="shared" si="146"/>
        <v>294.45557293177131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2.9897797980025715E-20</v>
      </c>
      <c r="BS170" s="24">
        <f t="shared" si="169"/>
        <v>2.9897797980025715E-20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5.6843418860808015E-14</v>
      </c>
      <c r="BZ170" s="14">
        <f>BY170*VLOOKUP('Données projet'!$B$12,Paramètres!$A$1:$I$89,3,0)*VLOOKUP('Données projet'!$B$12,Paramètres!$A$1:$I$89,5,0)</f>
        <v>4.9658410716801891E-14</v>
      </c>
      <c r="CA170" s="14">
        <f t="shared" si="170"/>
        <v>8.0934058173791862E-13</v>
      </c>
      <c r="CB170" s="22">
        <f t="shared" si="171"/>
        <v>1.4960899118586383E-12</v>
      </c>
      <c r="CC170" s="62">
        <f t="shared" si="119"/>
        <v>293.33333333333479</v>
      </c>
      <c r="CD170" s="62">
        <f ca="1">AVERAGE(OFFSET($CC$3,0,0,'Données projet'!$E$12+1,1))-AVERAGE(OFFSET($H$3,0,0,'Données projet'!$E$12+1,1))</f>
        <v>304.32767345253382</v>
      </c>
      <c r="CE170" s="62">
        <f t="shared" si="148"/>
        <v>427.16091343339173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-5.6843418860808015E-14</v>
      </c>
      <c r="CU170" s="18">
        <f>CT170*VLOOKUP('Données projet'!$B$13,Paramètres!$A$1:$I$89,3,0)*VLOOKUP('Données projet'!$B$13,Paramètres!$A$1:$I$89,5,0)</f>
        <v>-5.1431925385259088E-14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350.06545824795847</v>
      </c>
      <c r="CZ170" s="62">
        <f t="shared" si="150"/>
        <v>513.80016421153414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-1.1368683772161603E-13</v>
      </c>
      <c r="DP170" s="18">
        <f>DO170*VLOOKUP('Données projet'!$B$14,Paramètres!$A$1:$I$89,3,0)*VLOOKUP('Données projet'!$B$14,Paramètres!$A$1:$I$89,5,0)</f>
        <v>-9.0449248091317723E-14</v>
      </c>
      <c r="DQ170" s="14" t="e">
        <f t="shared" si="176"/>
        <v>#NUM!</v>
      </c>
      <c r="DR170" s="22" t="e">
        <f t="shared" si="177"/>
        <v>#NUM!</v>
      </c>
      <c r="DS170" s="62" t="e">
        <f t="shared" si="125"/>
        <v>#NUM!</v>
      </c>
      <c r="DT170" s="62">
        <f ca="1">AVERAGE(OFFSET($DS$3,0,0,'Données projet'!$E$14+1,1))-AVERAGE(OFFSET($H$3,0,0,'Données projet'!$E$14+1,1))</f>
        <v>382.14353215900121</v>
      </c>
      <c r="DU170" s="62">
        <f t="shared" si="152"/>
        <v>249.73945975250177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2.4593349951311488E-20</v>
      </c>
      <c r="ED170" s="24">
        <f t="shared" si="178"/>
        <v>2.4593349951311488E-20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-1.1368683772161603E-13</v>
      </c>
      <c r="O171" s="14">
        <f>N171*VLOOKUP('Données projet'!$B$9,Paramètres!$A$1:$I$89,3,0)*VLOOKUP('Données projet'!$B$9,Paramètres!$A$1:$I$89,5,0)</f>
        <v>-1.0286385077051818E-13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429.08375622925655</v>
      </c>
      <c r="T171" s="62">
        <f t="shared" si="142"/>
        <v>278.21741231699929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1.9777004359110567E-20</v>
      </c>
      <c r="AC171" s="24">
        <f t="shared" si="163"/>
        <v>1.9777004359110567E-20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-1.1368683772161603E-13</v>
      </c>
      <c r="AJ171" s="14">
        <f>AI171*VLOOKUP('Données projet'!$B$10,Paramètres!$A$1:$I$89,3,0)*VLOOKUP('Données projet'!$B$10,Paramètres!$A$1:$I$89,5,0)</f>
        <v>-1.0818439477588981E-13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449.16408464351673</v>
      </c>
      <c r="AO171" s="62">
        <f t="shared" si="144"/>
        <v>290.39826583283588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2.0799952860443884E-20</v>
      </c>
      <c r="AX171" s="23">
        <f t="shared" si="166"/>
        <v>2.0799952860443884E-20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-1.1368683772161603E-13</v>
      </c>
      <c r="BE171" s="14">
        <f>BD171*VLOOKUP('Données projet'!$B$11,Paramètres!$A$1:$I$89,3,0)*VLOOKUP('Données projet'!$B$11,Paramètres!$A$1:$I$89,5,0)</f>
        <v>-1.0995790944434703E-13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455.85294519779609</v>
      </c>
      <c r="BJ171" s="62">
        <f t="shared" si="146"/>
        <v>294.45557293177131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2.1140935694221646E-20</v>
      </c>
      <c r="BS171" s="24">
        <f t="shared" si="169"/>
        <v>2.1140935694221646E-20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5.6843418860808015E-14</v>
      </c>
      <c r="BZ171" s="14">
        <f>BY171*VLOOKUP('Données projet'!$B$12,Paramètres!$A$1:$I$89,3,0)*VLOOKUP('Données projet'!$B$12,Paramètres!$A$1:$I$89,5,0)</f>
        <v>4.9658410716801891E-14</v>
      </c>
      <c r="CA171" s="14">
        <f t="shared" si="170"/>
        <v>8.0934058173791862E-13</v>
      </c>
      <c r="CB171" s="22">
        <f t="shared" si="171"/>
        <v>1.4960899118586383E-12</v>
      </c>
      <c r="CC171" s="62">
        <f t="shared" si="119"/>
        <v>293.33333333333479</v>
      </c>
      <c r="CD171" s="62">
        <f ca="1">AVERAGE(OFFSET($CC$3,0,0,'Données projet'!$E$12+1,1))-AVERAGE(OFFSET($H$3,0,0,'Données projet'!$E$12+1,1))</f>
        <v>304.32767345253382</v>
      </c>
      <c r="CE171" s="62">
        <f t="shared" si="148"/>
        <v>427.16091343339173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-5.6843418860808015E-14</v>
      </c>
      <c r="CU171" s="18">
        <f>CT171*VLOOKUP('Données projet'!$B$13,Paramètres!$A$1:$I$89,3,0)*VLOOKUP('Données projet'!$B$13,Paramètres!$A$1:$I$89,5,0)</f>
        <v>-5.1431925385259088E-14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350.06545824795847</v>
      </c>
      <c r="CZ171" s="62">
        <f t="shared" si="150"/>
        <v>513.80016421153414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-1.1368683772161603E-13</v>
      </c>
      <c r="DP171" s="18">
        <f>DO171*VLOOKUP('Données projet'!$B$14,Paramètres!$A$1:$I$89,3,0)*VLOOKUP('Données projet'!$B$14,Paramètres!$A$1:$I$89,5,0)</f>
        <v>-9.0449248091317723E-14</v>
      </c>
      <c r="DQ171" s="14" t="e">
        <f t="shared" si="176"/>
        <v>#NUM!</v>
      </c>
      <c r="DR171" s="22" t="e">
        <f t="shared" si="177"/>
        <v>#NUM!</v>
      </c>
      <c r="DS171" s="62" t="e">
        <f t="shared" si="125"/>
        <v>#NUM!</v>
      </c>
      <c r="DT171" s="62">
        <f ca="1">AVERAGE(OFFSET($DS$3,0,0,'Données projet'!$E$14+1,1))-AVERAGE(OFFSET($H$3,0,0,'Données projet'!$E$14+1,1))</f>
        <v>382.14353215900121</v>
      </c>
      <c r="DU171" s="62">
        <f t="shared" si="152"/>
        <v>249.73945975250177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1.7390124522666202E-20</v>
      </c>
      <c r="ED171" s="24">
        <f t="shared" si="178"/>
        <v>1.7390124522666202E-20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-1.1368683772161603E-13</v>
      </c>
      <c r="O172" s="14">
        <f>N172*VLOOKUP('Données projet'!$B$9,Paramètres!$A$1:$I$89,3,0)*VLOOKUP('Données projet'!$B$9,Paramètres!$A$1:$I$89,5,0)</f>
        <v>-1.0286385077051818E-13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429.08375622925655</v>
      </c>
      <c r="T172" s="62">
        <f t="shared" si="142"/>
        <v>278.21741231699929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1.3984453893882992E-20</v>
      </c>
      <c r="AC172" s="24">
        <f t="shared" si="163"/>
        <v>1.3984453893882992E-20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-1.1368683772161603E-13</v>
      </c>
      <c r="AJ172" s="14">
        <f>AI172*VLOOKUP('Données projet'!$B$10,Paramètres!$A$1:$I$89,3,0)*VLOOKUP('Données projet'!$B$10,Paramètres!$A$1:$I$89,5,0)</f>
        <v>-1.0818439477588981E-13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449.16408464351673</v>
      </c>
      <c r="AO172" s="62">
        <f t="shared" si="144"/>
        <v>290.39826583283588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1.4707787715980397E-20</v>
      </c>
      <c r="AX172" s="23">
        <f t="shared" si="166"/>
        <v>1.4707787715980397E-20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-1.1368683772161603E-13</v>
      </c>
      <c r="BE172" s="14">
        <f>BD172*VLOOKUP('Données projet'!$B$11,Paramètres!$A$1:$I$89,3,0)*VLOOKUP('Données projet'!$B$11,Paramètres!$A$1:$I$89,5,0)</f>
        <v>-1.0995790944434703E-13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455.85294519779609</v>
      </c>
      <c r="BJ172" s="62">
        <f t="shared" si="146"/>
        <v>294.45557293177131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1.4948898990012858E-20</v>
      </c>
      <c r="BS172" s="24">
        <f t="shared" si="169"/>
        <v>1.4948898990012858E-20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5.6843418860808015E-14</v>
      </c>
      <c r="BZ172" s="14">
        <f>BY172*VLOOKUP('Données projet'!$B$12,Paramètres!$A$1:$I$89,3,0)*VLOOKUP('Données projet'!$B$12,Paramètres!$A$1:$I$89,5,0)</f>
        <v>4.9658410716801891E-14</v>
      </c>
      <c r="CA172" s="14">
        <f t="shared" si="170"/>
        <v>8.0934058173791862E-13</v>
      </c>
      <c r="CB172" s="22">
        <f t="shared" si="171"/>
        <v>1.4960899118586383E-12</v>
      </c>
      <c r="CC172" s="62">
        <f t="shared" si="119"/>
        <v>293.33333333333479</v>
      </c>
      <c r="CD172" s="62">
        <f ca="1">AVERAGE(OFFSET($CC$3,0,0,'Données projet'!$E$12+1,1))-AVERAGE(OFFSET($H$3,0,0,'Données projet'!$E$12+1,1))</f>
        <v>304.32767345253382</v>
      </c>
      <c r="CE172" s="62">
        <f t="shared" si="148"/>
        <v>427.16091343339173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-5.6843418860808015E-14</v>
      </c>
      <c r="CU172" s="18">
        <f>CT172*VLOOKUP('Données projet'!$B$13,Paramètres!$A$1:$I$89,3,0)*VLOOKUP('Données projet'!$B$13,Paramètres!$A$1:$I$89,5,0)</f>
        <v>-5.1431925385259088E-14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350.06545824795847</v>
      </c>
      <c r="CZ172" s="62">
        <f t="shared" si="150"/>
        <v>513.80016421153414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-1.1368683772161603E-13</v>
      </c>
      <c r="DP172" s="18">
        <f>DO172*VLOOKUP('Données projet'!$B$14,Paramètres!$A$1:$I$89,3,0)*VLOOKUP('Données projet'!$B$14,Paramètres!$A$1:$I$89,5,0)</f>
        <v>-9.0449248091317723E-14</v>
      </c>
      <c r="DQ172" s="14" t="e">
        <f t="shared" si="176"/>
        <v>#NUM!</v>
      </c>
      <c r="DR172" s="22" t="e">
        <f t="shared" si="177"/>
        <v>#NUM!</v>
      </c>
      <c r="DS172" s="62" t="e">
        <f t="shared" si="125"/>
        <v>#NUM!</v>
      </c>
      <c r="DT172" s="62">
        <f ca="1">AVERAGE(OFFSET($DS$3,0,0,'Données projet'!$E$14+1,1))-AVERAGE(OFFSET($H$3,0,0,'Données projet'!$E$14+1,1))</f>
        <v>382.14353215900121</v>
      </c>
      <c r="DU172" s="62">
        <f t="shared" si="152"/>
        <v>249.73945975250177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1.2296674975655744E-20</v>
      </c>
      <c r="ED172" s="24">
        <f t="shared" si="178"/>
        <v>1.2296674975655744E-20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-1.1368683772161603E-13</v>
      </c>
      <c r="O173" s="14">
        <f>N173*VLOOKUP('Données projet'!$B$9,Paramètres!$A$1:$I$89,3,0)*VLOOKUP('Données projet'!$B$9,Paramètres!$A$1:$I$89,5,0)</f>
        <v>-1.0286385077051818E-13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429.08375622925655</v>
      </c>
      <c r="T173" s="62">
        <f t="shared" si="142"/>
        <v>278.21741231699929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9.8885021795552837E-21</v>
      </c>
      <c r="AC173" s="24">
        <f t="shared" si="163"/>
        <v>9.8885021795552837E-21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-1.1368683772161603E-13</v>
      </c>
      <c r="AJ173" s="14">
        <f>AI173*VLOOKUP('Données projet'!$B$10,Paramètres!$A$1:$I$89,3,0)*VLOOKUP('Données projet'!$B$10,Paramètres!$A$1:$I$89,5,0)</f>
        <v>-1.0818439477588981E-13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449.16408464351673</v>
      </c>
      <c r="AO173" s="62">
        <f t="shared" si="144"/>
        <v>290.39826583283588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1.0399976430221942E-20</v>
      </c>
      <c r="AX173" s="23">
        <f t="shared" si="166"/>
        <v>1.0399976430221942E-20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-1.1368683772161603E-13</v>
      </c>
      <c r="BE173" s="14">
        <f>BD173*VLOOKUP('Données projet'!$B$11,Paramètres!$A$1:$I$89,3,0)*VLOOKUP('Données projet'!$B$11,Paramètres!$A$1:$I$89,5,0)</f>
        <v>-1.0995790944434703E-13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455.85294519779609</v>
      </c>
      <c r="BJ173" s="62">
        <f t="shared" si="146"/>
        <v>294.45557293177131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1.0570467847110823E-20</v>
      </c>
      <c r="BS173" s="24">
        <f t="shared" si="169"/>
        <v>1.0570467847110823E-20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5.6843418860808015E-14</v>
      </c>
      <c r="BZ173" s="14">
        <f>BY173*VLOOKUP('Données projet'!$B$12,Paramètres!$A$1:$I$89,3,0)*VLOOKUP('Données projet'!$B$12,Paramètres!$A$1:$I$89,5,0)</f>
        <v>4.9658410716801891E-14</v>
      </c>
      <c r="CA173" s="14">
        <f t="shared" si="170"/>
        <v>8.0934058173791862E-13</v>
      </c>
      <c r="CB173" s="22">
        <f t="shared" si="171"/>
        <v>1.4960899118586383E-12</v>
      </c>
      <c r="CC173" s="62">
        <f t="shared" si="119"/>
        <v>293.33333333333479</v>
      </c>
      <c r="CD173" s="62">
        <f ca="1">AVERAGE(OFFSET($CC$3,0,0,'Données projet'!$E$12+1,1))-AVERAGE(OFFSET($H$3,0,0,'Données projet'!$E$12+1,1))</f>
        <v>304.32767345253382</v>
      </c>
      <c r="CE173" s="62">
        <f t="shared" si="148"/>
        <v>427.16091343339173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-5.6843418860808015E-14</v>
      </c>
      <c r="CU173" s="18">
        <f>CT173*VLOOKUP('Données projet'!$B$13,Paramètres!$A$1:$I$89,3,0)*VLOOKUP('Données projet'!$B$13,Paramètres!$A$1:$I$89,5,0)</f>
        <v>-5.1431925385259088E-14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350.06545824795847</v>
      </c>
      <c r="CZ173" s="62">
        <f t="shared" si="150"/>
        <v>513.80016421153414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-1.1368683772161603E-13</v>
      </c>
      <c r="DP173" s="18">
        <f>DO173*VLOOKUP('Données projet'!$B$14,Paramètres!$A$1:$I$89,3,0)*VLOOKUP('Données projet'!$B$14,Paramètres!$A$1:$I$89,5,0)</f>
        <v>-9.0449248091317723E-14</v>
      </c>
      <c r="DQ173" s="14" t="e">
        <f t="shared" si="176"/>
        <v>#NUM!</v>
      </c>
      <c r="DR173" s="22" t="e">
        <f t="shared" si="177"/>
        <v>#NUM!</v>
      </c>
      <c r="DS173" s="62" t="e">
        <f t="shared" si="125"/>
        <v>#NUM!</v>
      </c>
      <c r="DT173" s="62">
        <f ca="1">AVERAGE(OFFSET($DS$3,0,0,'Données projet'!$E$14+1,1))-AVERAGE(OFFSET($H$3,0,0,'Données projet'!$E$14+1,1))</f>
        <v>382.14353215900121</v>
      </c>
      <c r="DU173" s="62">
        <f t="shared" si="152"/>
        <v>249.73945975250177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8.6950622613331008E-21</v>
      </c>
      <c r="ED173" s="24">
        <f t="shared" si="178"/>
        <v>8.6950622613331008E-21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-1.1368683772161603E-13</v>
      </c>
      <c r="O174" s="14">
        <f>N174*VLOOKUP('Données projet'!$B$9,Paramètres!$A$1:$I$89,3,0)*VLOOKUP('Données projet'!$B$9,Paramètres!$A$1:$I$89,5,0)</f>
        <v>-1.0286385077051818E-13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429.08375622925655</v>
      </c>
      <c r="T174" s="62">
        <f t="shared" si="142"/>
        <v>278.21741231699929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6.992226946941496E-21</v>
      </c>
      <c r="AC174" s="24">
        <f t="shared" si="163"/>
        <v>6.992226946941496E-21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-1.1368683772161603E-13</v>
      </c>
      <c r="AJ174" s="14">
        <f>AI174*VLOOKUP('Données projet'!$B$10,Paramètres!$A$1:$I$89,3,0)*VLOOKUP('Données projet'!$B$10,Paramètres!$A$1:$I$89,5,0)</f>
        <v>-1.0818439477588981E-13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449.16408464351673</v>
      </c>
      <c r="AO174" s="62">
        <f t="shared" si="144"/>
        <v>290.39826583283588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7.3538938579901983E-21</v>
      </c>
      <c r="AX174" s="23">
        <f t="shared" si="166"/>
        <v>7.3538938579901983E-21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-1.1368683772161603E-13</v>
      </c>
      <c r="BE174" s="14">
        <f>BD174*VLOOKUP('Données projet'!$B$11,Paramètres!$A$1:$I$89,3,0)*VLOOKUP('Données projet'!$B$11,Paramètres!$A$1:$I$89,5,0)</f>
        <v>-1.0995790944434703E-13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455.85294519779609</v>
      </c>
      <c r="BJ174" s="62">
        <f t="shared" si="146"/>
        <v>294.45557293177131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7.4744494950064289E-21</v>
      </c>
      <c r="BS174" s="24">
        <f t="shared" si="169"/>
        <v>7.4744494950064289E-21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5.6843418860808015E-14</v>
      </c>
      <c r="BZ174" s="14">
        <f>BY174*VLOOKUP('Données projet'!$B$12,Paramètres!$A$1:$I$89,3,0)*VLOOKUP('Données projet'!$B$12,Paramètres!$A$1:$I$89,5,0)</f>
        <v>4.9658410716801891E-14</v>
      </c>
      <c r="CA174" s="14">
        <f t="shared" si="170"/>
        <v>8.0934058173791862E-13</v>
      </c>
      <c r="CB174" s="22">
        <f t="shared" si="171"/>
        <v>1.4960899118586383E-12</v>
      </c>
      <c r="CC174" s="62">
        <f t="shared" si="119"/>
        <v>293.33333333333479</v>
      </c>
      <c r="CD174" s="62">
        <f ca="1">AVERAGE(OFFSET($CC$3,0,0,'Données projet'!$E$12+1,1))-AVERAGE(OFFSET($H$3,0,0,'Données projet'!$E$12+1,1))</f>
        <v>304.32767345253382</v>
      </c>
      <c r="CE174" s="62">
        <f t="shared" si="148"/>
        <v>427.16091343339173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-5.6843418860808015E-14</v>
      </c>
      <c r="CU174" s="18">
        <f>CT174*VLOOKUP('Données projet'!$B$13,Paramètres!$A$1:$I$89,3,0)*VLOOKUP('Données projet'!$B$13,Paramètres!$A$1:$I$89,5,0)</f>
        <v>-5.1431925385259088E-14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350.06545824795847</v>
      </c>
      <c r="CZ174" s="62">
        <f t="shared" si="150"/>
        <v>513.80016421153414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-1.1368683772161603E-13</v>
      </c>
      <c r="DP174" s="18">
        <f>DO174*VLOOKUP('Données projet'!$B$14,Paramètres!$A$1:$I$89,3,0)*VLOOKUP('Données projet'!$B$14,Paramètres!$A$1:$I$89,5,0)</f>
        <v>-9.0449248091317723E-14</v>
      </c>
      <c r="DQ174" s="14" t="e">
        <f t="shared" si="176"/>
        <v>#NUM!</v>
      </c>
      <c r="DR174" s="22" t="e">
        <f t="shared" si="177"/>
        <v>#NUM!</v>
      </c>
      <c r="DS174" s="62" t="e">
        <f t="shared" si="125"/>
        <v>#NUM!</v>
      </c>
      <c r="DT174" s="62">
        <f ca="1">AVERAGE(OFFSET($DS$3,0,0,'Données projet'!$E$14+1,1))-AVERAGE(OFFSET($H$3,0,0,'Données projet'!$E$14+1,1))</f>
        <v>382.14353215900121</v>
      </c>
      <c r="DU174" s="62">
        <f t="shared" si="152"/>
        <v>249.73945975250177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6.1483374878278721E-21</v>
      </c>
      <c r="ED174" s="24">
        <f t="shared" si="178"/>
        <v>6.1483374878278721E-21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-1.1368683772161603E-13</v>
      </c>
      <c r="O175" s="14">
        <f>N175*VLOOKUP('Données projet'!$B$9,Paramètres!$A$1:$I$89,3,0)*VLOOKUP('Données projet'!$B$9,Paramètres!$A$1:$I$89,5,0)</f>
        <v>-1.0286385077051818E-13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429.08375622925655</v>
      </c>
      <c r="T175" s="62">
        <f t="shared" si="142"/>
        <v>278.21741231699929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4.9442510897776418E-21</v>
      </c>
      <c r="AC175" s="24">
        <f t="shared" si="163"/>
        <v>4.9442510897776418E-21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-1.1368683772161603E-13</v>
      </c>
      <c r="AJ175" s="14">
        <f>AI175*VLOOKUP('Données projet'!$B$10,Paramètres!$A$1:$I$89,3,0)*VLOOKUP('Données projet'!$B$10,Paramètres!$A$1:$I$89,5,0)</f>
        <v>-1.0818439477588981E-13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449.16408464351673</v>
      </c>
      <c r="AO175" s="62">
        <f t="shared" si="144"/>
        <v>290.39826583283588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5.199988215110971E-21</v>
      </c>
      <c r="AX175" s="23">
        <f t="shared" si="166"/>
        <v>5.199988215110971E-21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-1.1368683772161603E-13</v>
      </c>
      <c r="BE175" s="14">
        <f>BD175*VLOOKUP('Données projet'!$B$11,Paramètres!$A$1:$I$89,3,0)*VLOOKUP('Données projet'!$B$11,Paramètres!$A$1:$I$89,5,0)</f>
        <v>-1.0995790944434703E-13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455.85294519779609</v>
      </c>
      <c r="BJ175" s="62">
        <f t="shared" si="146"/>
        <v>294.45557293177131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5.2852339235554116E-21</v>
      </c>
      <c r="BS175" s="24">
        <f t="shared" si="169"/>
        <v>5.2852339235554116E-21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5.6843418860808015E-14</v>
      </c>
      <c r="BZ175" s="14">
        <f>BY175*VLOOKUP('Données projet'!$B$12,Paramètres!$A$1:$I$89,3,0)*VLOOKUP('Données projet'!$B$12,Paramètres!$A$1:$I$89,5,0)</f>
        <v>4.9658410716801891E-14</v>
      </c>
      <c r="CA175" s="14">
        <f t="shared" si="170"/>
        <v>8.0934058173791862E-13</v>
      </c>
      <c r="CB175" s="22">
        <f t="shared" si="171"/>
        <v>1.4960899118586383E-12</v>
      </c>
      <c r="CC175" s="62">
        <f t="shared" si="119"/>
        <v>293.33333333333479</v>
      </c>
      <c r="CD175" s="62">
        <f ca="1">AVERAGE(OFFSET($CC$3,0,0,'Données projet'!$E$12+1,1))-AVERAGE(OFFSET($H$3,0,0,'Données projet'!$E$12+1,1))</f>
        <v>304.32767345253382</v>
      </c>
      <c r="CE175" s="62">
        <f t="shared" si="148"/>
        <v>427.16091343339173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-5.6843418860808015E-14</v>
      </c>
      <c r="CU175" s="18">
        <f>CT175*VLOOKUP('Données projet'!$B$13,Paramètres!$A$1:$I$89,3,0)*VLOOKUP('Données projet'!$B$13,Paramètres!$A$1:$I$89,5,0)</f>
        <v>-5.1431925385259088E-14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350.06545824795847</v>
      </c>
      <c r="CZ175" s="62">
        <f t="shared" si="150"/>
        <v>513.80016421153414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-1.1368683772161603E-13</v>
      </c>
      <c r="DP175" s="18">
        <f>DO175*VLOOKUP('Données projet'!$B$14,Paramètres!$A$1:$I$89,3,0)*VLOOKUP('Données projet'!$B$14,Paramètres!$A$1:$I$89,5,0)</f>
        <v>-9.0449248091317723E-14</v>
      </c>
      <c r="DQ175" s="14" t="e">
        <f t="shared" si="176"/>
        <v>#NUM!</v>
      </c>
      <c r="DR175" s="22" t="e">
        <f t="shared" si="177"/>
        <v>#NUM!</v>
      </c>
      <c r="DS175" s="62" t="e">
        <f t="shared" si="125"/>
        <v>#NUM!</v>
      </c>
      <c r="DT175" s="62">
        <f ca="1">AVERAGE(OFFSET($DS$3,0,0,'Données projet'!$E$14+1,1))-AVERAGE(OFFSET($H$3,0,0,'Données projet'!$E$14+1,1))</f>
        <v>382.14353215900121</v>
      </c>
      <c r="DU175" s="62">
        <f t="shared" si="152"/>
        <v>249.73945975250177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4.3475311306665504E-21</v>
      </c>
      <c r="ED175" s="24">
        <f t="shared" si="178"/>
        <v>4.3475311306665504E-21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-1.1368683772161603E-13</v>
      </c>
      <c r="O176" s="14">
        <f>N176*VLOOKUP('Données projet'!$B$9,Paramètres!$A$1:$I$89,3,0)*VLOOKUP('Données projet'!$B$9,Paramètres!$A$1:$I$89,5,0)</f>
        <v>-1.0286385077051818E-13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429.08375622925655</v>
      </c>
      <c r="T176" s="62">
        <f t="shared" si="142"/>
        <v>278.21741231699929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3.496113473470748E-21</v>
      </c>
      <c r="AC176" s="24">
        <f t="shared" si="163"/>
        <v>3.496113473470748E-21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-1.1368683772161603E-13</v>
      </c>
      <c r="AJ176" s="14">
        <f>AI176*VLOOKUP('Données projet'!$B$10,Paramètres!$A$1:$I$89,3,0)*VLOOKUP('Données projet'!$B$10,Paramètres!$A$1:$I$89,5,0)</f>
        <v>-1.0818439477588981E-13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449.16408464351673</v>
      </c>
      <c r="AO176" s="62">
        <f t="shared" si="144"/>
        <v>290.39826583283588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3.6769469289950991E-21</v>
      </c>
      <c r="AX176" s="23">
        <f t="shared" si="166"/>
        <v>3.6769469289950991E-21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-1.1368683772161603E-13</v>
      </c>
      <c r="BE176" s="14">
        <f>BD176*VLOOKUP('Données projet'!$B$11,Paramètres!$A$1:$I$89,3,0)*VLOOKUP('Données projet'!$B$11,Paramètres!$A$1:$I$89,5,0)</f>
        <v>-1.0995790944434703E-13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455.85294519779609</v>
      </c>
      <c r="BJ176" s="62">
        <f t="shared" si="146"/>
        <v>294.45557293177131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3.7372247475032144E-21</v>
      </c>
      <c r="BS176" s="24">
        <f t="shared" si="169"/>
        <v>3.7372247475032144E-21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5.6843418860808015E-14</v>
      </c>
      <c r="BZ176" s="14">
        <f>BY176*VLOOKUP('Données projet'!$B$12,Paramètres!$A$1:$I$89,3,0)*VLOOKUP('Données projet'!$B$12,Paramètres!$A$1:$I$89,5,0)</f>
        <v>4.9658410716801891E-14</v>
      </c>
      <c r="CA176" s="14">
        <f t="shared" si="170"/>
        <v>8.0934058173791862E-13</v>
      </c>
      <c r="CB176" s="22">
        <f t="shared" si="171"/>
        <v>1.4960899118586383E-12</v>
      </c>
      <c r="CC176" s="62">
        <f t="shared" si="119"/>
        <v>293.33333333333479</v>
      </c>
      <c r="CD176" s="62">
        <f ca="1">AVERAGE(OFFSET($CC$3,0,0,'Données projet'!$E$12+1,1))-AVERAGE(OFFSET($H$3,0,0,'Données projet'!$E$12+1,1))</f>
        <v>304.32767345253382</v>
      </c>
      <c r="CE176" s="62">
        <f t="shared" si="148"/>
        <v>427.16091343339173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-5.6843418860808015E-14</v>
      </c>
      <c r="CU176" s="18">
        <f>CT176*VLOOKUP('Données projet'!$B$13,Paramètres!$A$1:$I$89,3,0)*VLOOKUP('Données projet'!$B$13,Paramètres!$A$1:$I$89,5,0)</f>
        <v>-5.1431925385259088E-14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350.06545824795847</v>
      </c>
      <c r="CZ176" s="62">
        <f t="shared" si="150"/>
        <v>513.80016421153414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-1.1368683772161603E-13</v>
      </c>
      <c r="DP176" s="18">
        <f>DO176*VLOOKUP('Données projet'!$B$14,Paramètres!$A$1:$I$89,3,0)*VLOOKUP('Données projet'!$B$14,Paramètres!$A$1:$I$89,5,0)</f>
        <v>-9.0449248091317723E-14</v>
      </c>
      <c r="DQ176" s="14" t="e">
        <f t="shared" si="176"/>
        <v>#NUM!</v>
      </c>
      <c r="DR176" s="22" t="e">
        <f t="shared" si="177"/>
        <v>#NUM!</v>
      </c>
      <c r="DS176" s="62" t="e">
        <f t="shared" si="125"/>
        <v>#NUM!</v>
      </c>
      <c r="DT176" s="62">
        <f ca="1">AVERAGE(OFFSET($DS$3,0,0,'Données projet'!$E$14+1,1))-AVERAGE(OFFSET($H$3,0,0,'Données projet'!$E$14+1,1))</f>
        <v>382.14353215900121</v>
      </c>
      <c r="DU176" s="62">
        <f t="shared" si="152"/>
        <v>249.73945975250177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3.074168743913936E-21</v>
      </c>
      <c r="ED176" s="24">
        <f t="shared" si="178"/>
        <v>3.074168743913936E-21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-1.1368683772161603E-13</v>
      </c>
      <c r="O177" s="14">
        <f>N177*VLOOKUP('Données projet'!$B$9,Paramètres!$A$1:$I$89,3,0)*VLOOKUP('Données projet'!$B$9,Paramètres!$A$1:$I$89,5,0)</f>
        <v>-1.0286385077051818E-13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429.08375622925655</v>
      </c>
      <c r="T177" s="62">
        <f t="shared" si="142"/>
        <v>278.21741231699929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2.4721255448888209E-21</v>
      </c>
      <c r="AC177" s="24">
        <f t="shared" si="163"/>
        <v>2.4721255448888209E-21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-1.1368683772161603E-13</v>
      </c>
      <c r="AJ177" s="14">
        <f>AI177*VLOOKUP('Données projet'!$B$10,Paramètres!$A$1:$I$89,3,0)*VLOOKUP('Données projet'!$B$10,Paramètres!$A$1:$I$89,5,0)</f>
        <v>-1.0818439477588981E-13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449.16408464351673</v>
      </c>
      <c r="AO177" s="62">
        <f t="shared" si="144"/>
        <v>290.39826583283588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2.5999941075554855E-21</v>
      </c>
      <c r="AX177" s="23">
        <f t="shared" si="166"/>
        <v>2.5999941075554855E-21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-1.1368683772161603E-13</v>
      </c>
      <c r="BE177" s="14">
        <f>BD177*VLOOKUP('Données projet'!$B$11,Paramètres!$A$1:$I$89,3,0)*VLOOKUP('Données projet'!$B$11,Paramètres!$A$1:$I$89,5,0)</f>
        <v>-1.0995790944434703E-13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455.85294519779609</v>
      </c>
      <c r="BJ177" s="62">
        <f t="shared" si="146"/>
        <v>294.45557293177131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2.6426169617777058E-21</v>
      </c>
      <c r="BS177" s="24">
        <f t="shared" si="169"/>
        <v>2.6426169617777058E-21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5.6843418860808015E-14</v>
      </c>
      <c r="BZ177" s="14">
        <f>BY177*VLOOKUP('Données projet'!$B$12,Paramètres!$A$1:$I$89,3,0)*VLOOKUP('Données projet'!$B$12,Paramètres!$A$1:$I$89,5,0)</f>
        <v>4.9658410716801891E-14</v>
      </c>
      <c r="CA177" s="14">
        <f t="shared" si="170"/>
        <v>8.0934058173791862E-13</v>
      </c>
      <c r="CB177" s="22">
        <f t="shared" si="171"/>
        <v>1.4960899118586383E-12</v>
      </c>
      <c r="CC177" s="62">
        <f t="shared" si="119"/>
        <v>293.33333333333479</v>
      </c>
      <c r="CD177" s="62">
        <f ca="1">AVERAGE(OFFSET($CC$3,0,0,'Données projet'!$E$12+1,1))-AVERAGE(OFFSET($H$3,0,0,'Données projet'!$E$12+1,1))</f>
        <v>304.32767345253382</v>
      </c>
      <c r="CE177" s="62">
        <f t="shared" si="148"/>
        <v>427.16091343339173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-5.6843418860808015E-14</v>
      </c>
      <c r="CU177" s="18">
        <f>CT177*VLOOKUP('Données projet'!$B$13,Paramètres!$A$1:$I$89,3,0)*VLOOKUP('Données projet'!$B$13,Paramètres!$A$1:$I$89,5,0)</f>
        <v>-5.1431925385259088E-14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350.06545824795847</v>
      </c>
      <c r="CZ177" s="62">
        <f t="shared" si="150"/>
        <v>513.80016421153414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-1.1368683772161603E-13</v>
      </c>
      <c r="DP177" s="18">
        <f>DO177*VLOOKUP('Données projet'!$B$14,Paramètres!$A$1:$I$89,3,0)*VLOOKUP('Données projet'!$B$14,Paramètres!$A$1:$I$89,5,0)</f>
        <v>-9.0449248091317723E-14</v>
      </c>
      <c r="DQ177" s="14" t="e">
        <f t="shared" si="176"/>
        <v>#NUM!</v>
      </c>
      <c r="DR177" s="22" t="e">
        <f t="shared" si="177"/>
        <v>#NUM!</v>
      </c>
      <c r="DS177" s="62" t="e">
        <f t="shared" si="125"/>
        <v>#NUM!</v>
      </c>
      <c r="DT177" s="62">
        <f ca="1">AVERAGE(OFFSET($DS$3,0,0,'Données projet'!$E$14+1,1))-AVERAGE(OFFSET($H$3,0,0,'Données projet'!$E$14+1,1))</f>
        <v>382.14353215900121</v>
      </c>
      <c r="DU177" s="62">
        <f t="shared" si="152"/>
        <v>249.73945975250177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2.1737655653332752E-21</v>
      </c>
      <c r="ED177" s="24">
        <f t="shared" si="178"/>
        <v>2.1737655653332752E-21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-1.1368683772161603E-13</v>
      </c>
      <c r="O178" s="14">
        <f>N178*VLOOKUP('Données projet'!$B$9,Paramètres!$A$1:$I$89,3,0)*VLOOKUP('Données projet'!$B$9,Paramètres!$A$1:$I$89,5,0)</f>
        <v>-1.0286385077051818E-13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429.08375622925655</v>
      </c>
      <c r="T178" s="62">
        <f t="shared" si="142"/>
        <v>278.21741231699929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1.748056736735374E-21</v>
      </c>
      <c r="AC178" s="24">
        <f t="shared" si="163"/>
        <v>1.748056736735374E-21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-1.1368683772161603E-13</v>
      </c>
      <c r="AJ178" s="14">
        <f>AI178*VLOOKUP('Données projet'!$B$10,Paramètres!$A$1:$I$89,3,0)*VLOOKUP('Données projet'!$B$10,Paramètres!$A$1:$I$89,5,0)</f>
        <v>-1.0818439477588981E-13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449.16408464351673</v>
      </c>
      <c r="AO178" s="62">
        <f t="shared" si="144"/>
        <v>290.39826583283588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1.8384734644975496E-21</v>
      </c>
      <c r="AX178" s="23">
        <f t="shared" si="166"/>
        <v>1.8384734644975496E-21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-1.1368683772161603E-13</v>
      </c>
      <c r="BE178" s="14">
        <f>BD178*VLOOKUP('Données projet'!$B$11,Paramètres!$A$1:$I$89,3,0)*VLOOKUP('Données projet'!$B$11,Paramètres!$A$1:$I$89,5,0)</f>
        <v>-1.0995790944434703E-13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455.85294519779609</v>
      </c>
      <c r="BJ178" s="62">
        <f t="shared" si="146"/>
        <v>294.45557293177131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1.8686123737516072E-21</v>
      </c>
      <c r="BS178" s="24">
        <f t="shared" si="169"/>
        <v>1.8686123737516072E-21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5.6843418860808015E-14</v>
      </c>
      <c r="BZ178" s="14">
        <f>BY178*VLOOKUP('Données projet'!$B$12,Paramètres!$A$1:$I$89,3,0)*VLOOKUP('Données projet'!$B$12,Paramètres!$A$1:$I$89,5,0)</f>
        <v>4.9658410716801891E-14</v>
      </c>
      <c r="CA178" s="14">
        <f t="shared" si="170"/>
        <v>8.0934058173791862E-13</v>
      </c>
      <c r="CB178" s="22">
        <f t="shared" si="171"/>
        <v>1.4960899118586383E-12</v>
      </c>
      <c r="CC178" s="62">
        <f t="shared" si="119"/>
        <v>293.33333333333479</v>
      </c>
      <c r="CD178" s="62">
        <f ca="1">AVERAGE(OFFSET($CC$3,0,0,'Données projet'!$E$12+1,1))-AVERAGE(OFFSET($H$3,0,0,'Données projet'!$E$12+1,1))</f>
        <v>304.32767345253382</v>
      </c>
      <c r="CE178" s="62">
        <f t="shared" si="148"/>
        <v>427.16091343339173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-5.6843418860808015E-14</v>
      </c>
      <c r="CU178" s="18">
        <f>CT178*VLOOKUP('Données projet'!$B$13,Paramètres!$A$1:$I$89,3,0)*VLOOKUP('Données projet'!$B$13,Paramètres!$A$1:$I$89,5,0)</f>
        <v>-5.1431925385259088E-14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350.06545824795847</v>
      </c>
      <c r="CZ178" s="62">
        <f t="shared" si="150"/>
        <v>513.80016421153414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-1.1368683772161603E-13</v>
      </c>
      <c r="DP178" s="18">
        <f>DO178*VLOOKUP('Données projet'!$B$14,Paramètres!$A$1:$I$89,3,0)*VLOOKUP('Données projet'!$B$14,Paramètres!$A$1:$I$89,5,0)</f>
        <v>-9.0449248091317723E-14</v>
      </c>
      <c r="DQ178" s="14" t="e">
        <f t="shared" si="176"/>
        <v>#NUM!</v>
      </c>
      <c r="DR178" s="22" t="e">
        <f t="shared" si="177"/>
        <v>#NUM!</v>
      </c>
      <c r="DS178" s="62" t="e">
        <f t="shared" si="125"/>
        <v>#NUM!</v>
      </c>
      <c r="DT178" s="62">
        <f ca="1">AVERAGE(OFFSET($DS$3,0,0,'Données projet'!$E$14+1,1))-AVERAGE(OFFSET($H$3,0,0,'Données projet'!$E$14+1,1))</f>
        <v>382.14353215900121</v>
      </c>
      <c r="DU178" s="62">
        <f t="shared" si="152"/>
        <v>249.73945975250177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1.537084371956968E-21</v>
      </c>
      <c r="ED178" s="24">
        <f t="shared" si="178"/>
        <v>1.537084371956968E-21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-1.1368683772161603E-13</v>
      </c>
      <c r="O179" s="14">
        <f>N179*VLOOKUP('Données projet'!$B$9,Paramètres!$A$1:$I$89,3,0)*VLOOKUP('Données projet'!$B$9,Paramètres!$A$1:$I$89,5,0)</f>
        <v>-1.0286385077051818E-13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429.08375622925655</v>
      </c>
      <c r="T179" s="62">
        <f t="shared" si="142"/>
        <v>278.21741231699929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1.2360627724444105E-21</v>
      </c>
      <c r="AC179" s="24">
        <f t="shared" si="163"/>
        <v>1.2360627724444105E-21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-1.1368683772161603E-13</v>
      </c>
      <c r="AJ179" s="14">
        <f>AI179*VLOOKUP('Données projet'!$B$10,Paramètres!$A$1:$I$89,3,0)*VLOOKUP('Données projet'!$B$10,Paramètres!$A$1:$I$89,5,0)</f>
        <v>-1.0818439477588981E-13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449.16408464351673</v>
      </c>
      <c r="AO179" s="62">
        <f t="shared" si="144"/>
        <v>290.39826583283588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1.2999970537777428E-21</v>
      </c>
      <c r="AX179" s="23">
        <f t="shared" si="166"/>
        <v>1.2999970537777428E-21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-1.1368683772161603E-13</v>
      </c>
      <c r="BE179" s="14">
        <f>BD179*VLOOKUP('Données projet'!$B$11,Paramètres!$A$1:$I$89,3,0)*VLOOKUP('Données projet'!$B$11,Paramètres!$A$1:$I$89,5,0)</f>
        <v>-1.0995790944434703E-13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455.85294519779609</v>
      </c>
      <c r="BJ179" s="62">
        <f t="shared" si="146"/>
        <v>294.45557293177131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1.3213084808888529E-21</v>
      </c>
      <c r="BS179" s="24">
        <f t="shared" si="169"/>
        <v>1.3213084808888529E-21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5.6843418860808015E-14</v>
      </c>
      <c r="BZ179" s="14">
        <f>BY179*VLOOKUP('Données projet'!$B$12,Paramètres!$A$1:$I$89,3,0)*VLOOKUP('Données projet'!$B$12,Paramètres!$A$1:$I$89,5,0)</f>
        <v>4.9658410716801891E-14</v>
      </c>
      <c r="CA179" s="14">
        <f t="shared" si="170"/>
        <v>8.0934058173791862E-13</v>
      </c>
      <c r="CB179" s="22">
        <f t="shared" si="171"/>
        <v>1.4960899118586383E-12</v>
      </c>
      <c r="CC179" s="62">
        <f t="shared" si="119"/>
        <v>293.33333333333479</v>
      </c>
      <c r="CD179" s="62">
        <f ca="1">AVERAGE(OFFSET($CC$3,0,0,'Données projet'!$E$12+1,1))-AVERAGE(OFFSET($H$3,0,0,'Données projet'!$E$12+1,1))</f>
        <v>304.32767345253382</v>
      </c>
      <c r="CE179" s="62">
        <f t="shared" si="148"/>
        <v>427.16091343339173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-5.6843418860808015E-14</v>
      </c>
      <c r="CU179" s="18">
        <f>CT179*VLOOKUP('Données projet'!$B$13,Paramètres!$A$1:$I$89,3,0)*VLOOKUP('Données projet'!$B$13,Paramètres!$A$1:$I$89,5,0)</f>
        <v>-5.1431925385259088E-14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350.06545824795847</v>
      </c>
      <c r="CZ179" s="62">
        <f t="shared" si="150"/>
        <v>513.80016421153414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-1.1368683772161603E-13</v>
      </c>
      <c r="DP179" s="18">
        <f>DO179*VLOOKUP('Données projet'!$B$14,Paramètres!$A$1:$I$89,3,0)*VLOOKUP('Données projet'!$B$14,Paramètres!$A$1:$I$89,5,0)</f>
        <v>-9.0449248091317723E-14</v>
      </c>
      <c r="DQ179" s="14" t="e">
        <f t="shared" si="176"/>
        <v>#NUM!</v>
      </c>
      <c r="DR179" s="22" t="e">
        <f t="shared" si="177"/>
        <v>#NUM!</v>
      </c>
      <c r="DS179" s="62" t="e">
        <f t="shared" si="125"/>
        <v>#NUM!</v>
      </c>
      <c r="DT179" s="62">
        <f ca="1">AVERAGE(OFFSET($DS$3,0,0,'Données projet'!$E$14+1,1))-AVERAGE(OFFSET($H$3,0,0,'Données projet'!$E$14+1,1))</f>
        <v>382.14353215900121</v>
      </c>
      <c r="DU179" s="62">
        <f t="shared" si="152"/>
        <v>249.73945975250177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1.0868827826666376E-21</v>
      </c>
      <c r="ED179" s="24">
        <f t="shared" si="178"/>
        <v>1.0868827826666376E-21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-1.1368683772161603E-13</v>
      </c>
      <c r="O180" s="14">
        <f>N180*VLOOKUP('Données projet'!$B$9,Paramètres!$A$1:$I$89,3,0)*VLOOKUP('Données projet'!$B$9,Paramètres!$A$1:$I$89,5,0)</f>
        <v>-1.0286385077051818E-13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429.08375622925655</v>
      </c>
      <c r="T180" s="62">
        <f t="shared" si="142"/>
        <v>278.21741231699929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8.74028368367687E-22</v>
      </c>
      <c r="AC180" s="24">
        <f t="shared" si="163"/>
        <v>8.74028368367687E-22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-1.1368683772161603E-13</v>
      </c>
      <c r="AJ180" s="14">
        <f>AI180*VLOOKUP('Données projet'!$B$10,Paramètres!$A$1:$I$89,3,0)*VLOOKUP('Données projet'!$B$10,Paramètres!$A$1:$I$89,5,0)</f>
        <v>-1.0818439477588981E-13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449.16408464351673</v>
      </c>
      <c r="AO180" s="62">
        <f t="shared" si="144"/>
        <v>290.39826583283588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9.1923673224877478E-22</v>
      </c>
      <c r="AX180" s="23">
        <f t="shared" si="166"/>
        <v>9.1923673224877478E-22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-1.1368683772161603E-13</v>
      </c>
      <c r="BE180" s="14">
        <f>BD180*VLOOKUP('Données projet'!$B$11,Paramètres!$A$1:$I$89,3,0)*VLOOKUP('Données projet'!$B$11,Paramètres!$A$1:$I$89,5,0)</f>
        <v>-1.0995790944434703E-13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455.85294519779609</v>
      </c>
      <c r="BJ180" s="62">
        <f t="shared" si="146"/>
        <v>294.45557293177131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9.3430618687580361E-22</v>
      </c>
      <c r="BS180" s="24">
        <f t="shared" si="169"/>
        <v>9.3430618687580361E-22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5.6843418860808015E-14</v>
      </c>
      <c r="BZ180" s="14">
        <f>BY180*VLOOKUP('Données projet'!$B$12,Paramètres!$A$1:$I$89,3,0)*VLOOKUP('Données projet'!$B$12,Paramètres!$A$1:$I$89,5,0)</f>
        <v>4.9658410716801891E-14</v>
      </c>
      <c r="CA180" s="14">
        <f t="shared" si="170"/>
        <v>8.0934058173791862E-13</v>
      </c>
      <c r="CB180" s="22">
        <f t="shared" si="171"/>
        <v>1.4960899118586383E-12</v>
      </c>
      <c r="CC180" s="62">
        <f t="shared" si="119"/>
        <v>293.33333333333479</v>
      </c>
      <c r="CD180" s="62">
        <f ca="1">AVERAGE(OFFSET($CC$3,0,0,'Données projet'!$E$12+1,1))-AVERAGE(OFFSET($H$3,0,0,'Données projet'!$E$12+1,1))</f>
        <v>304.32767345253382</v>
      </c>
      <c r="CE180" s="62">
        <f t="shared" si="148"/>
        <v>427.16091343339173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-5.6843418860808015E-14</v>
      </c>
      <c r="CU180" s="18">
        <f>CT180*VLOOKUP('Données projet'!$B$13,Paramètres!$A$1:$I$89,3,0)*VLOOKUP('Données projet'!$B$13,Paramètres!$A$1:$I$89,5,0)</f>
        <v>-5.1431925385259088E-14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350.06545824795847</v>
      </c>
      <c r="CZ180" s="62">
        <f t="shared" si="150"/>
        <v>513.80016421153414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-1.1368683772161603E-13</v>
      </c>
      <c r="DP180" s="18">
        <f>DO180*VLOOKUP('Données projet'!$B$14,Paramètres!$A$1:$I$89,3,0)*VLOOKUP('Données projet'!$B$14,Paramètres!$A$1:$I$89,5,0)</f>
        <v>-9.0449248091317723E-14</v>
      </c>
      <c r="DQ180" s="14" t="e">
        <f t="shared" si="176"/>
        <v>#NUM!</v>
      </c>
      <c r="DR180" s="22" t="e">
        <f t="shared" si="177"/>
        <v>#NUM!</v>
      </c>
      <c r="DS180" s="62" t="e">
        <f t="shared" si="125"/>
        <v>#NUM!</v>
      </c>
      <c r="DT180" s="62">
        <f ca="1">AVERAGE(OFFSET($DS$3,0,0,'Données projet'!$E$14+1,1))-AVERAGE(OFFSET($H$3,0,0,'Données projet'!$E$14+1,1))</f>
        <v>382.14353215900121</v>
      </c>
      <c r="DU180" s="62">
        <f t="shared" si="152"/>
        <v>249.73945975250177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7.6854218597848401E-22</v>
      </c>
      <c r="ED180" s="24">
        <f t="shared" si="178"/>
        <v>7.6854218597848401E-22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-1.1368683772161603E-13</v>
      </c>
      <c r="O181" s="14">
        <f>N181*VLOOKUP('Données projet'!$B$9,Paramètres!$A$1:$I$89,3,0)*VLOOKUP('Données projet'!$B$9,Paramètres!$A$1:$I$89,5,0)</f>
        <v>-1.0286385077051818E-13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429.08375622925655</v>
      </c>
      <c r="T181" s="62">
        <f t="shared" si="142"/>
        <v>278.21741231699929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6.1803138622220523E-22</v>
      </c>
      <c r="AC181" s="24">
        <f t="shared" si="163"/>
        <v>6.1803138622220523E-22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-1.1368683772161603E-13</v>
      </c>
      <c r="AJ181" s="14">
        <f>AI181*VLOOKUP('Données projet'!$B$10,Paramètres!$A$1:$I$89,3,0)*VLOOKUP('Données projet'!$B$10,Paramètres!$A$1:$I$89,5,0)</f>
        <v>-1.0818439477588981E-13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449.16408464351673</v>
      </c>
      <c r="AO181" s="62">
        <f t="shared" si="144"/>
        <v>290.39826583283588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6.4999852688887138E-22</v>
      </c>
      <c r="AX181" s="23">
        <f t="shared" si="166"/>
        <v>6.4999852688887138E-22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-1.1368683772161603E-13</v>
      </c>
      <c r="BE181" s="14">
        <f>BD181*VLOOKUP('Données projet'!$B$11,Paramètres!$A$1:$I$89,3,0)*VLOOKUP('Données projet'!$B$11,Paramètres!$A$1:$I$89,5,0)</f>
        <v>-1.0995790944434703E-13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455.85294519779609</v>
      </c>
      <c r="BJ181" s="62">
        <f t="shared" si="146"/>
        <v>294.45557293177131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6.6065424044442645E-22</v>
      </c>
      <c r="BS181" s="24">
        <f t="shared" si="169"/>
        <v>6.6065424044442645E-22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5.6843418860808015E-14</v>
      </c>
      <c r="BZ181" s="14">
        <f>BY181*VLOOKUP('Données projet'!$B$12,Paramètres!$A$1:$I$89,3,0)*VLOOKUP('Données projet'!$B$12,Paramètres!$A$1:$I$89,5,0)</f>
        <v>4.9658410716801891E-14</v>
      </c>
      <c r="CA181" s="14">
        <f t="shared" si="170"/>
        <v>8.0934058173791862E-13</v>
      </c>
      <c r="CB181" s="22">
        <f t="shared" si="171"/>
        <v>1.4960899118586383E-12</v>
      </c>
      <c r="CC181" s="62">
        <f t="shared" si="119"/>
        <v>293.33333333333479</v>
      </c>
      <c r="CD181" s="62">
        <f ca="1">AVERAGE(OFFSET($CC$3,0,0,'Données projet'!$E$12+1,1))-AVERAGE(OFFSET($H$3,0,0,'Données projet'!$E$12+1,1))</f>
        <v>304.32767345253382</v>
      </c>
      <c r="CE181" s="62">
        <f t="shared" si="148"/>
        <v>427.16091343339173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-5.6843418860808015E-14</v>
      </c>
      <c r="CU181" s="18">
        <f>CT181*VLOOKUP('Données projet'!$B$13,Paramètres!$A$1:$I$89,3,0)*VLOOKUP('Données projet'!$B$13,Paramètres!$A$1:$I$89,5,0)</f>
        <v>-5.1431925385259088E-14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350.06545824795847</v>
      </c>
      <c r="CZ181" s="62">
        <f t="shared" si="150"/>
        <v>513.80016421153414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-1.1368683772161603E-13</v>
      </c>
      <c r="DP181" s="18">
        <f>DO181*VLOOKUP('Données projet'!$B$14,Paramètres!$A$1:$I$89,3,0)*VLOOKUP('Données projet'!$B$14,Paramètres!$A$1:$I$89,5,0)</f>
        <v>-9.0449248091317723E-14</v>
      </c>
      <c r="DQ181" s="14" t="e">
        <f t="shared" si="176"/>
        <v>#NUM!</v>
      </c>
      <c r="DR181" s="22" t="e">
        <f t="shared" si="177"/>
        <v>#NUM!</v>
      </c>
      <c r="DS181" s="62" t="e">
        <f t="shared" si="125"/>
        <v>#NUM!</v>
      </c>
      <c r="DT181" s="62">
        <f ca="1">AVERAGE(OFFSET($DS$3,0,0,'Données projet'!$E$14+1,1))-AVERAGE(OFFSET($H$3,0,0,'Données projet'!$E$14+1,1))</f>
        <v>382.14353215900121</v>
      </c>
      <c r="DU181" s="62">
        <f t="shared" si="152"/>
        <v>249.73945975250177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5.434413913333188E-22</v>
      </c>
      <c r="ED181" s="24">
        <f t="shared" si="178"/>
        <v>5.434413913333188E-22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-1.1368683772161603E-13</v>
      </c>
      <c r="O182" s="14">
        <f>N182*VLOOKUP('Données projet'!$B$9,Paramètres!$A$1:$I$89,3,0)*VLOOKUP('Données projet'!$B$9,Paramètres!$A$1:$I$89,5,0)</f>
        <v>-1.0286385077051818E-13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429.08375622925655</v>
      </c>
      <c r="T182" s="62">
        <f t="shared" si="142"/>
        <v>278.21741231699929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4.370141841838435E-22</v>
      </c>
      <c r="AC182" s="24">
        <f t="shared" si="163"/>
        <v>4.370141841838435E-22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-1.1368683772161603E-13</v>
      </c>
      <c r="AJ182" s="14">
        <f>AI182*VLOOKUP('Données projet'!$B$10,Paramètres!$A$1:$I$89,3,0)*VLOOKUP('Données projet'!$B$10,Paramètres!$A$1:$I$89,5,0)</f>
        <v>-1.0818439477588981E-13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449.16408464351673</v>
      </c>
      <c r="AO182" s="62">
        <f t="shared" si="144"/>
        <v>290.39826583283588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4.5961836612438739E-22</v>
      </c>
      <c r="AX182" s="23">
        <f t="shared" si="166"/>
        <v>4.5961836612438739E-22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-1.1368683772161603E-13</v>
      </c>
      <c r="BE182" s="14">
        <f>BD182*VLOOKUP('Données projet'!$B$11,Paramètres!$A$1:$I$89,3,0)*VLOOKUP('Données projet'!$B$11,Paramètres!$A$1:$I$89,5,0)</f>
        <v>-1.0995790944434703E-13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455.85294519779609</v>
      </c>
      <c r="BJ182" s="62">
        <f t="shared" si="146"/>
        <v>294.45557293177131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4.671530934379018E-22</v>
      </c>
      <c r="BS182" s="24">
        <f t="shared" si="169"/>
        <v>4.671530934379018E-22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5.6843418860808015E-14</v>
      </c>
      <c r="BZ182" s="14">
        <f>BY182*VLOOKUP('Données projet'!$B$12,Paramètres!$A$1:$I$89,3,0)*VLOOKUP('Données projet'!$B$12,Paramètres!$A$1:$I$89,5,0)</f>
        <v>4.9658410716801891E-14</v>
      </c>
      <c r="CA182" s="14">
        <f t="shared" si="170"/>
        <v>8.0934058173791862E-13</v>
      </c>
      <c r="CB182" s="22">
        <f t="shared" si="171"/>
        <v>1.4960899118586383E-12</v>
      </c>
      <c r="CC182" s="62">
        <f t="shared" si="119"/>
        <v>293.33333333333479</v>
      </c>
      <c r="CD182" s="62">
        <f ca="1">AVERAGE(OFFSET($CC$3,0,0,'Données projet'!$E$12+1,1))-AVERAGE(OFFSET($H$3,0,0,'Données projet'!$E$12+1,1))</f>
        <v>304.32767345253382</v>
      </c>
      <c r="CE182" s="62">
        <f t="shared" si="148"/>
        <v>427.16091343339173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-5.6843418860808015E-14</v>
      </c>
      <c r="CU182" s="18">
        <f>CT182*VLOOKUP('Données projet'!$B$13,Paramètres!$A$1:$I$89,3,0)*VLOOKUP('Données projet'!$B$13,Paramètres!$A$1:$I$89,5,0)</f>
        <v>-5.1431925385259088E-14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350.06545824795847</v>
      </c>
      <c r="CZ182" s="62">
        <f t="shared" si="150"/>
        <v>513.80016421153414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-1.1368683772161603E-13</v>
      </c>
      <c r="DP182" s="18">
        <f>DO182*VLOOKUP('Données projet'!$B$14,Paramètres!$A$1:$I$89,3,0)*VLOOKUP('Données projet'!$B$14,Paramètres!$A$1:$I$89,5,0)</f>
        <v>-9.0449248091317723E-14</v>
      </c>
      <c r="DQ182" s="14" t="e">
        <f t="shared" si="176"/>
        <v>#NUM!</v>
      </c>
      <c r="DR182" s="22" t="e">
        <f t="shared" si="177"/>
        <v>#NUM!</v>
      </c>
      <c r="DS182" s="62" t="e">
        <f t="shared" si="125"/>
        <v>#NUM!</v>
      </c>
      <c r="DT182" s="62">
        <f ca="1">AVERAGE(OFFSET($DS$3,0,0,'Données projet'!$E$14+1,1))-AVERAGE(OFFSET($H$3,0,0,'Données projet'!$E$14+1,1))</f>
        <v>382.14353215900121</v>
      </c>
      <c r="DU182" s="62">
        <f t="shared" si="152"/>
        <v>249.73945975250177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3.8427109298924201E-22</v>
      </c>
      <c r="ED182" s="24">
        <f t="shared" si="178"/>
        <v>3.8427109298924201E-22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-1.1368683772161603E-13</v>
      </c>
      <c r="O183" s="14">
        <f>N183*VLOOKUP('Données projet'!$B$9,Paramètres!$A$1:$I$89,3,0)*VLOOKUP('Données projet'!$B$9,Paramètres!$A$1:$I$89,5,0)</f>
        <v>-1.0286385077051818E-13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429.08375622925655</v>
      </c>
      <c r="T183" s="62">
        <f t="shared" si="142"/>
        <v>278.21741231699929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3.0901569311110261E-22</v>
      </c>
      <c r="AC183" s="24">
        <f t="shared" si="163"/>
        <v>3.0901569311110261E-22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-1.1368683772161603E-13</v>
      </c>
      <c r="AJ183" s="14">
        <f>AI183*VLOOKUP('Données projet'!$B$10,Paramètres!$A$1:$I$89,3,0)*VLOOKUP('Données projet'!$B$10,Paramètres!$A$1:$I$89,5,0)</f>
        <v>-1.0818439477588981E-13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449.16408464351673</v>
      </c>
      <c r="AO183" s="62">
        <f t="shared" si="144"/>
        <v>290.39826583283588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3.2499926344443569E-22</v>
      </c>
      <c r="AX183" s="23">
        <f t="shared" si="166"/>
        <v>3.2499926344443569E-22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-1.1368683772161603E-13</v>
      </c>
      <c r="BE183" s="14">
        <f>BD183*VLOOKUP('Données projet'!$B$11,Paramètres!$A$1:$I$89,3,0)*VLOOKUP('Données projet'!$B$11,Paramètres!$A$1:$I$89,5,0)</f>
        <v>-1.0995790944434703E-13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455.85294519779609</v>
      </c>
      <c r="BJ183" s="62">
        <f t="shared" si="146"/>
        <v>294.45557293177131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3.3032712022221322E-22</v>
      </c>
      <c r="BS183" s="24">
        <f t="shared" si="169"/>
        <v>3.3032712022221322E-22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5.6843418860808015E-14</v>
      </c>
      <c r="BZ183" s="14">
        <f>BY183*VLOOKUP('Données projet'!$B$12,Paramètres!$A$1:$I$89,3,0)*VLOOKUP('Données projet'!$B$12,Paramètres!$A$1:$I$89,5,0)</f>
        <v>4.9658410716801891E-14</v>
      </c>
      <c r="CA183" s="14">
        <f t="shared" si="170"/>
        <v>8.0934058173791862E-13</v>
      </c>
      <c r="CB183" s="22">
        <f t="shared" si="171"/>
        <v>1.4960899118586383E-12</v>
      </c>
      <c r="CC183" s="62">
        <f t="shared" si="119"/>
        <v>293.33333333333479</v>
      </c>
      <c r="CD183" s="62">
        <f ca="1">AVERAGE(OFFSET($CC$3,0,0,'Données projet'!$E$12+1,1))-AVERAGE(OFFSET($H$3,0,0,'Données projet'!$E$12+1,1))</f>
        <v>304.32767345253382</v>
      </c>
      <c r="CE183" s="62">
        <f t="shared" si="148"/>
        <v>427.16091343339173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-5.6843418860808015E-14</v>
      </c>
      <c r="CU183" s="18">
        <f>CT183*VLOOKUP('Données projet'!$B$13,Paramètres!$A$1:$I$89,3,0)*VLOOKUP('Données projet'!$B$13,Paramètres!$A$1:$I$89,5,0)</f>
        <v>-5.1431925385259088E-14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350.06545824795847</v>
      </c>
      <c r="CZ183" s="62">
        <f t="shared" si="150"/>
        <v>513.80016421153414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-1.1368683772161603E-13</v>
      </c>
      <c r="DP183" s="18">
        <f>DO183*VLOOKUP('Données projet'!$B$14,Paramètres!$A$1:$I$89,3,0)*VLOOKUP('Données projet'!$B$14,Paramètres!$A$1:$I$89,5,0)</f>
        <v>-9.0449248091317723E-14</v>
      </c>
      <c r="DQ183" s="14" t="e">
        <f t="shared" si="176"/>
        <v>#NUM!</v>
      </c>
      <c r="DR183" s="22" t="e">
        <f t="shared" si="177"/>
        <v>#NUM!</v>
      </c>
      <c r="DS183" s="62" t="e">
        <f t="shared" si="125"/>
        <v>#NUM!</v>
      </c>
      <c r="DT183" s="62">
        <f ca="1">AVERAGE(OFFSET($DS$3,0,0,'Données projet'!$E$14+1,1))-AVERAGE(OFFSET($H$3,0,0,'Données projet'!$E$14+1,1))</f>
        <v>382.14353215900121</v>
      </c>
      <c r="DU183" s="62">
        <f t="shared" si="152"/>
        <v>249.73945975250177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2.717206956666594E-22</v>
      </c>
      <c r="ED183" s="24">
        <f t="shared" si="178"/>
        <v>2.717206956666594E-22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-1.1368683772161603E-13</v>
      </c>
      <c r="O184" s="14">
        <f>N184*VLOOKUP('Données projet'!$B$9,Paramètres!$A$1:$I$89,3,0)*VLOOKUP('Données projet'!$B$9,Paramètres!$A$1:$I$89,5,0)</f>
        <v>-1.0286385077051818E-13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429.08375622925655</v>
      </c>
      <c r="T184" s="62">
        <f t="shared" si="142"/>
        <v>278.21741231699929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2.1850709209192175E-22</v>
      </c>
      <c r="AC184" s="24">
        <f t="shared" si="163"/>
        <v>2.1850709209192175E-22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-1.1368683772161603E-13</v>
      </c>
      <c r="AJ184" s="14">
        <f>AI184*VLOOKUP('Données projet'!$B$10,Paramètres!$A$1:$I$89,3,0)*VLOOKUP('Données projet'!$B$10,Paramètres!$A$1:$I$89,5,0)</f>
        <v>-1.0818439477588981E-13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449.16408464351673</v>
      </c>
      <c r="AO184" s="62">
        <f t="shared" si="144"/>
        <v>290.39826583283588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2.298091830621937E-22</v>
      </c>
      <c r="AX184" s="23">
        <f t="shared" si="166"/>
        <v>2.298091830621937E-22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-1.1368683772161603E-13</v>
      </c>
      <c r="BE184" s="14">
        <f>BD184*VLOOKUP('Données projet'!$B$11,Paramètres!$A$1:$I$89,3,0)*VLOOKUP('Données projet'!$B$11,Paramètres!$A$1:$I$89,5,0)</f>
        <v>-1.0995790944434703E-13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455.85294519779609</v>
      </c>
      <c r="BJ184" s="62">
        <f t="shared" si="146"/>
        <v>294.45557293177131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2.335765467189509E-22</v>
      </c>
      <c r="BS184" s="24">
        <f t="shared" si="169"/>
        <v>2.335765467189509E-22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5.6843418860808015E-14</v>
      </c>
      <c r="BZ184" s="14">
        <f>BY184*VLOOKUP('Données projet'!$B$12,Paramètres!$A$1:$I$89,3,0)*VLOOKUP('Données projet'!$B$12,Paramètres!$A$1:$I$89,5,0)</f>
        <v>4.9658410716801891E-14</v>
      </c>
      <c r="CA184" s="14">
        <f t="shared" si="170"/>
        <v>8.0934058173791862E-13</v>
      </c>
      <c r="CB184" s="22">
        <f t="shared" si="171"/>
        <v>1.4960899118586383E-12</v>
      </c>
      <c r="CC184" s="62">
        <f t="shared" si="119"/>
        <v>293.33333333333479</v>
      </c>
      <c r="CD184" s="62">
        <f ca="1">AVERAGE(OFFSET($CC$3,0,0,'Données projet'!$E$12+1,1))-AVERAGE(OFFSET($H$3,0,0,'Données projet'!$E$12+1,1))</f>
        <v>304.32767345253382</v>
      </c>
      <c r="CE184" s="62">
        <f t="shared" si="148"/>
        <v>427.16091343339173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-5.6843418860808015E-14</v>
      </c>
      <c r="CU184" s="18">
        <f>CT184*VLOOKUP('Données projet'!$B$13,Paramètres!$A$1:$I$89,3,0)*VLOOKUP('Données projet'!$B$13,Paramètres!$A$1:$I$89,5,0)</f>
        <v>-5.1431925385259088E-14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350.06545824795847</v>
      </c>
      <c r="CZ184" s="62">
        <f t="shared" si="150"/>
        <v>513.80016421153414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-1.1368683772161603E-13</v>
      </c>
      <c r="DP184" s="18">
        <f>DO184*VLOOKUP('Données projet'!$B$14,Paramètres!$A$1:$I$89,3,0)*VLOOKUP('Données projet'!$B$14,Paramètres!$A$1:$I$89,5,0)</f>
        <v>-9.0449248091317723E-14</v>
      </c>
      <c r="DQ184" s="14" t="e">
        <f t="shared" si="176"/>
        <v>#NUM!</v>
      </c>
      <c r="DR184" s="22" t="e">
        <f t="shared" si="177"/>
        <v>#NUM!</v>
      </c>
      <c r="DS184" s="62" t="e">
        <f t="shared" si="125"/>
        <v>#NUM!</v>
      </c>
      <c r="DT184" s="62">
        <f ca="1">AVERAGE(OFFSET($DS$3,0,0,'Données projet'!$E$14+1,1))-AVERAGE(OFFSET($H$3,0,0,'Données projet'!$E$14+1,1))</f>
        <v>382.14353215900121</v>
      </c>
      <c r="DU184" s="62">
        <f t="shared" si="152"/>
        <v>249.73945975250177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1.92135546494621E-22</v>
      </c>
      <c r="ED184" s="24">
        <f t="shared" si="178"/>
        <v>1.92135546494621E-22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-1.1368683772161603E-13</v>
      </c>
      <c r="O185" s="14">
        <f>N185*VLOOKUP('Données projet'!$B$9,Paramètres!$A$1:$I$89,3,0)*VLOOKUP('Données projet'!$B$9,Paramètres!$A$1:$I$89,5,0)</f>
        <v>-1.0286385077051818E-13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429.08375622925655</v>
      </c>
      <c r="T185" s="62">
        <f t="shared" si="142"/>
        <v>278.21741231699929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1.5450784655555131E-22</v>
      </c>
      <c r="AC185" s="24">
        <f t="shared" si="163"/>
        <v>1.5450784655555131E-22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-1.1368683772161603E-13</v>
      </c>
      <c r="AJ185" s="14">
        <f>AI185*VLOOKUP('Données projet'!$B$10,Paramètres!$A$1:$I$89,3,0)*VLOOKUP('Données projet'!$B$10,Paramètres!$A$1:$I$89,5,0)</f>
        <v>-1.0818439477588981E-13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449.16408464351673</v>
      </c>
      <c r="AO185" s="62">
        <f t="shared" si="144"/>
        <v>290.39826583283588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1.6249963172221784E-22</v>
      </c>
      <c r="AX185" s="23">
        <f t="shared" si="166"/>
        <v>1.6249963172221784E-22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-1.1368683772161603E-13</v>
      </c>
      <c r="BE185" s="14">
        <f>BD185*VLOOKUP('Données projet'!$B$11,Paramètres!$A$1:$I$89,3,0)*VLOOKUP('Données projet'!$B$11,Paramètres!$A$1:$I$89,5,0)</f>
        <v>-1.0995790944434703E-13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455.85294519779609</v>
      </c>
      <c r="BJ185" s="62">
        <f t="shared" si="146"/>
        <v>294.45557293177131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1.6516356011110661E-22</v>
      </c>
      <c r="BS185" s="24">
        <f t="shared" si="169"/>
        <v>1.6516356011110661E-22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5.6843418860808015E-14</v>
      </c>
      <c r="BZ185" s="14">
        <f>BY185*VLOOKUP('Données projet'!$B$12,Paramètres!$A$1:$I$89,3,0)*VLOOKUP('Données projet'!$B$12,Paramètres!$A$1:$I$89,5,0)</f>
        <v>4.9658410716801891E-14</v>
      </c>
      <c r="CA185" s="14">
        <f t="shared" si="170"/>
        <v>8.0934058173791862E-13</v>
      </c>
      <c r="CB185" s="22">
        <f t="shared" si="171"/>
        <v>1.4960899118586383E-12</v>
      </c>
      <c r="CC185" s="62">
        <f t="shared" si="119"/>
        <v>293.33333333333479</v>
      </c>
      <c r="CD185" s="62">
        <f ca="1">AVERAGE(OFFSET($CC$3,0,0,'Données projet'!$E$12+1,1))-AVERAGE(OFFSET($H$3,0,0,'Données projet'!$E$12+1,1))</f>
        <v>304.32767345253382</v>
      </c>
      <c r="CE185" s="62">
        <f t="shared" si="148"/>
        <v>427.16091343339173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-5.6843418860808015E-14</v>
      </c>
      <c r="CU185" s="18">
        <f>CT185*VLOOKUP('Données projet'!$B$13,Paramètres!$A$1:$I$89,3,0)*VLOOKUP('Données projet'!$B$13,Paramètres!$A$1:$I$89,5,0)</f>
        <v>-5.1431925385259088E-14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350.06545824795847</v>
      </c>
      <c r="CZ185" s="62">
        <f t="shared" si="150"/>
        <v>513.80016421153414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-1.1368683772161603E-13</v>
      </c>
      <c r="DP185" s="18">
        <f>DO185*VLOOKUP('Données projet'!$B$14,Paramètres!$A$1:$I$89,3,0)*VLOOKUP('Données projet'!$B$14,Paramètres!$A$1:$I$89,5,0)</f>
        <v>-9.0449248091317723E-14</v>
      </c>
      <c r="DQ185" s="14" t="e">
        <f t="shared" si="176"/>
        <v>#NUM!</v>
      </c>
      <c r="DR185" s="22" t="e">
        <f t="shared" si="177"/>
        <v>#NUM!</v>
      </c>
      <c r="DS185" s="62" t="e">
        <f t="shared" si="125"/>
        <v>#NUM!</v>
      </c>
      <c r="DT185" s="62">
        <f ca="1">AVERAGE(OFFSET($DS$3,0,0,'Données projet'!$E$14+1,1))-AVERAGE(OFFSET($H$3,0,0,'Données projet'!$E$14+1,1))</f>
        <v>382.14353215900121</v>
      </c>
      <c r="DU185" s="62">
        <f t="shared" si="152"/>
        <v>249.73945975250177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1.358603478333297E-22</v>
      </c>
      <c r="ED185" s="24">
        <f t="shared" si="178"/>
        <v>1.358603478333297E-22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-1.1368683772161603E-13</v>
      </c>
      <c r="O186" s="14">
        <f>N186*VLOOKUP('Données projet'!$B$9,Paramètres!$A$1:$I$89,3,0)*VLOOKUP('Données projet'!$B$9,Paramètres!$A$1:$I$89,5,0)</f>
        <v>-1.0286385077051818E-13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429.08375622925655</v>
      </c>
      <c r="T186" s="62">
        <f t="shared" si="142"/>
        <v>278.21741231699929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1.0925354604596087E-22</v>
      </c>
      <c r="AC186" s="24">
        <f t="shared" si="163"/>
        <v>1.0925354604596087E-22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-1.1368683772161603E-13</v>
      </c>
      <c r="AJ186" s="14">
        <f>AI186*VLOOKUP('Données projet'!$B$10,Paramètres!$A$1:$I$89,3,0)*VLOOKUP('Données projet'!$B$10,Paramètres!$A$1:$I$89,5,0)</f>
        <v>-1.0818439477588981E-13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449.16408464351673</v>
      </c>
      <c r="AO186" s="62">
        <f t="shared" si="144"/>
        <v>290.39826583283588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1.1490459153109685E-22</v>
      </c>
      <c r="AX186" s="23">
        <f t="shared" si="166"/>
        <v>1.1490459153109685E-22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-1.1368683772161603E-13</v>
      </c>
      <c r="BE186" s="14">
        <f>BD186*VLOOKUP('Données projet'!$B$11,Paramètres!$A$1:$I$89,3,0)*VLOOKUP('Données projet'!$B$11,Paramètres!$A$1:$I$89,5,0)</f>
        <v>-1.0995790944434703E-13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455.85294519779609</v>
      </c>
      <c r="BJ186" s="62">
        <f t="shared" si="146"/>
        <v>294.45557293177131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1.1678827335947545E-22</v>
      </c>
      <c r="BS186" s="24">
        <f t="shared" si="169"/>
        <v>1.1678827335947545E-22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5.6843418860808015E-14</v>
      </c>
      <c r="BZ186" s="14">
        <f>BY186*VLOOKUP('Données projet'!$B$12,Paramètres!$A$1:$I$89,3,0)*VLOOKUP('Données projet'!$B$12,Paramètres!$A$1:$I$89,5,0)</f>
        <v>4.9658410716801891E-14</v>
      </c>
      <c r="CA186" s="14">
        <f t="shared" si="170"/>
        <v>8.0934058173791862E-13</v>
      </c>
      <c r="CB186" s="22">
        <f t="shared" si="171"/>
        <v>1.4960899118586383E-12</v>
      </c>
      <c r="CC186" s="62">
        <f t="shared" si="119"/>
        <v>293.33333333333479</v>
      </c>
      <c r="CD186" s="62">
        <f ca="1">AVERAGE(OFFSET($CC$3,0,0,'Données projet'!$E$12+1,1))-AVERAGE(OFFSET($H$3,0,0,'Données projet'!$E$12+1,1))</f>
        <v>304.32767345253382</v>
      </c>
      <c r="CE186" s="62">
        <f t="shared" si="148"/>
        <v>427.16091343339173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-5.6843418860808015E-14</v>
      </c>
      <c r="CU186" s="18">
        <f>CT186*VLOOKUP('Données projet'!$B$13,Paramètres!$A$1:$I$89,3,0)*VLOOKUP('Données projet'!$B$13,Paramètres!$A$1:$I$89,5,0)</f>
        <v>-5.1431925385259088E-14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350.06545824795847</v>
      </c>
      <c r="CZ186" s="62">
        <f t="shared" si="150"/>
        <v>513.80016421153414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-1.1368683772161603E-13</v>
      </c>
      <c r="DP186" s="18">
        <f>DO186*VLOOKUP('Données projet'!$B$14,Paramètres!$A$1:$I$89,3,0)*VLOOKUP('Données projet'!$B$14,Paramètres!$A$1:$I$89,5,0)</f>
        <v>-9.0449248091317723E-14</v>
      </c>
      <c r="DQ186" s="14" t="e">
        <f t="shared" si="176"/>
        <v>#NUM!</v>
      </c>
      <c r="DR186" s="22" t="e">
        <f t="shared" si="177"/>
        <v>#NUM!</v>
      </c>
      <c r="DS186" s="62" t="e">
        <f t="shared" si="125"/>
        <v>#NUM!</v>
      </c>
      <c r="DT186" s="62">
        <f ca="1">AVERAGE(OFFSET($DS$3,0,0,'Données projet'!$E$14+1,1))-AVERAGE(OFFSET($H$3,0,0,'Données projet'!$E$14+1,1))</f>
        <v>382.14353215900121</v>
      </c>
      <c r="DU186" s="62">
        <f t="shared" si="152"/>
        <v>249.73945975250177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9.6067773247310501E-23</v>
      </c>
      <c r="ED186" s="24">
        <f t="shared" si="178"/>
        <v>9.6067773247310501E-23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-1.1368683772161603E-13</v>
      </c>
      <c r="O187" s="14">
        <f>N187*VLOOKUP('Données projet'!$B$9,Paramètres!$A$1:$I$89,3,0)*VLOOKUP('Données projet'!$B$9,Paramètres!$A$1:$I$89,5,0)</f>
        <v>-1.0286385077051818E-13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429.08375622925655</v>
      </c>
      <c r="T187" s="62">
        <f t="shared" si="142"/>
        <v>278.21741231699929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7.7253923277775654E-23</v>
      </c>
      <c r="AC187" s="24">
        <f t="shared" si="163"/>
        <v>7.7253923277775654E-23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-1.1368683772161603E-13</v>
      </c>
      <c r="AJ187" s="14">
        <f>AI187*VLOOKUP('Données projet'!$B$10,Paramètres!$A$1:$I$89,3,0)*VLOOKUP('Données projet'!$B$10,Paramètres!$A$1:$I$89,5,0)</f>
        <v>-1.0818439477588981E-13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449.16408464351673</v>
      </c>
      <c r="AO187" s="62">
        <f t="shared" si="144"/>
        <v>290.39826583283588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8.1249815861108922E-23</v>
      </c>
      <c r="AX187" s="23">
        <f t="shared" si="166"/>
        <v>8.1249815861108922E-23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-1.1368683772161603E-13</v>
      </c>
      <c r="BE187" s="14">
        <f>BD187*VLOOKUP('Données projet'!$B$11,Paramètres!$A$1:$I$89,3,0)*VLOOKUP('Données projet'!$B$11,Paramètres!$A$1:$I$89,5,0)</f>
        <v>-1.0995790944434703E-13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455.85294519779609</v>
      </c>
      <c r="BJ187" s="62">
        <f t="shared" si="146"/>
        <v>294.45557293177131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8.2581780055553306E-23</v>
      </c>
      <c r="BS187" s="24">
        <f t="shared" si="169"/>
        <v>8.2581780055553306E-23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5.6843418860808015E-14</v>
      </c>
      <c r="BZ187" s="14">
        <f>BY187*VLOOKUP('Données projet'!$B$12,Paramètres!$A$1:$I$89,3,0)*VLOOKUP('Données projet'!$B$12,Paramètres!$A$1:$I$89,5,0)</f>
        <v>4.9658410716801891E-14</v>
      </c>
      <c r="CA187" s="14">
        <f t="shared" si="170"/>
        <v>8.0934058173791862E-13</v>
      </c>
      <c r="CB187" s="22">
        <f t="shared" si="171"/>
        <v>1.4960899118586383E-12</v>
      </c>
      <c r="CC187" s="62">
        <f t="shared" si="119"/>
        <v>293.33333333333479</v>
      </c>
      <c r="CD187" s="62">
        <f ca="1">AVERAGE(OFFSET($CC$3,0,0,'Données projet'!$E$12+1,1))-AVERAGE(OFFSET($H$3,0,0,'Données projet'!$E$12+1,1))</f>
        <v>304.32767345253382</v>
      </c>
      <c r="CE187" s="62">
        <f t="shared" si="148"/>
        <v>427.16091343339173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-5.6843418860808015E-14</v>
      </c>
      <c r="CU187" s="18">
        <f>CT187*VLOOKUP('Données projet'!$B$13,Paramètres!$A$1:$I$89,3,0)*VLOOKUP('Données projet'!$B$13,Paramètres!$A$1:$I$89,5,0)</f>
        <v>-5.1431925385259088E-14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350.06545824795847</v>
      </c>
      <c r="CZ187" s="62">
        <f t="shared" si="150"/>
        <v>513.80016421153414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-1.1368683772161603E-13</v>
      </c>
      <c r="DP187" s="18">
        <f>DO187*VLOOKUP('Données projet'!$B$14,Paramètres!$A$1:$I$89,3,0)*VLOOKUP('Données projet'!$B$14,Paramètres!$A$1:$I$89,5,0)</f>
        <v>-9.0449248091317723E-14</v>
      </c>
      <c r="DQ187" s="14" t="e">
        <f t="shared" si="176"/>
        <v>#NUM!</v>
      </c>
      <c r="DR187" s="22" t="e">
        <f t="shared" si="177"/>
        <v>#NUM!</v>
      </c>
      <c r="DS187" s="62" t="e">
        <f t="shared" si="125"/>
        <v>#NUM!</v>
      </c>
      <c r="DT187" s="62">
        <f ca="1">AVERAGE(OFFSET($DS$3,0,0,'Données projet'!$E$14+1,1))-AVERAGE(OFFSET($H$3,0,0,'Données projet'!$E$14+1,1))</f>
        <v>382.14353215900121</v>
      </c>
      <c r="DU187" s="62">
        <f t="shared" si="152"/>
        <v>249.73945975250177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6.793017391666485E-23</v>
      </c>
      <c r="ED187" s="24">
        <f t="shared" si="178"/>
        <v>6.793017391666485E-23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-1.1368683772161603E-13</v>
      </c>
      <c r="O188" s="14">
        <f>N188*VLOOKUP('Données projet'!$B$9,Paramètres!$A$1:$I$89,3,0)*VLOOKUP('Données projet'!$B$9,Paramètres!$A$1:$I$89,5,0)</f>
        <v>-1.0286385077051818E-13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429.08375622925655</v>
      </c>
      <c r="T188" s="62">
        <f t="shared" si="142"/>
        <v>278.21741231699929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5.4626773022980437E-23</v>
      </c>
      <c r="AC188" s="24">
        <f t="shared" si="163"/>
        <v>5.4626773022980437E-23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-1.1368683772161603E-13</v>
      </c>
      <c r="AJ188" s="14">
        <f>AI188*VLOOKUP('Données projet'!$B$10,Paramètres!$A$1:$I$89,3,0)*VLOOKUP('Données projet'!$B$10,Paramètres!$A$1:$I$89,5,0)</f>
        <v>-1.0818439477588981E-13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449.16408464351673</v>
      </c>
      <c r="AO188" s="62">
        <f t="shared" si="144"/>
        <v>290.39826583283588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5.7452295765548424E-23</v>
      </c>
      <c r="AX188" s="23">
        <f t="shared" si="166"/>
        <v>5.7452295765548424E-23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-1.1368683772161603E-13</v>
      </c>
      <c r="BE188" s="14">
        <f>BD188*VLOOKUP('Données projet'!$B$11,Paramètres!$A$1:$I$89,3,0)*VLOOKUP('Données projet'!$B$11,Paramètres!$A$1:$I$89,5,0)</f>
        <v>-1.0995790944434703E-13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455.85294519779609</v>
      </c>
      <c r="BJ188" s="62">
        <f t="shared" si="146"/>
        <v>294.45557293177131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5.8394136679737725E-23</v>
      </c>
      <c r="BS188" s="24">
        <f t="shared" si="169"/>
        <v>5.8394136679737725E-23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5.6843418860808015E-14</v>
      </c>
      <c r="BZ188" s="14">
        <f>BY188*VLOOKUP('Données projet'!$B$12,Paramètres!$A$1:$I$89,3,0)*VLOOKUP('Données projet'!$B$12,Paramètres!$A$1:$I$89,5,0)</f>
        <v>4.9658410716801891E-14</v>
      </c>
      <c r="CA188" s="14">
        <f t="shared" si="170"/>
        <v>8.0934058173791862E-13</v>
      </c>
      <c r="CB188" s="22">
        <f t="shared" si="171"/>
        <v>1.4960899118586383E-12</v>
      </c>
      <c r="CC188" s="62">
        <f t="shared" si="119"/>
        <v>293.33333333333479</v>
      </c>
      <c r="CD188" s="62">
        <f ca="1">AVERAGE(OFFSET($CC$3,0,0,'Données projet'!$E$12+1,1))-AVERAGE(OFFSET($H$3,0,0,'Données projet'!$E$12+1,1))</f>
        <v>304.32767345253382</v>
      </c>
      <c r="CE188" s="62">
        <f t="shared" si="148"/>
        <v>427.16091343339173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-5.6843418860808015E-14</v>
      </c>
      <c r="CU188" s="18">
        <f>CT188*VLOOKUP('Données projet'!$B$13,Paramètres!$A$1:$I$89,3,0)*VLOOKUP('Données projet'!$B$13,Paramètres!$A$1:$I$89,5,0)</f>
        <v>-5.1431925385259088E-14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350.06545824795847</v>
      </c>
      <c r="CZ188" s="62">
        <f t="shared" si="150"/>
        <v>513.80016421153414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-1.1368683772161603E-13</v>
      </c>
      <c r="DP188" s="18">
        <f>DO188*VLOOKUP('Données projet'!$B$14,Paramètres!$A$1:$I$89,3,0)*VLOOKUP('Données projet'!$B$14,Paramètres!$A$1:$I$89,5,0)</f>
        <v>-9.0449248091317723E-14</v>
      </c>
      <c r="DQ188" s="14" t="e">
        <f t="shared" si="176"/>
        <v>#NUM!</v>
      </c>
      <c r="DR188" s="22" t="e">
        <f t="shared" si="177"/>
        <v>#NUM!</v>
      </c>
      <c r="DS188" s="62" t="e">
        <f t="shared" si="125"/>
        <v>#NUM!</v>
      </c>
      <c r="DT188" s="62">
        <f ca="1">AVERAGE(OFFSET($DS$3,0,0,'Données projet'!$E$14+1,1))-AVERAGE(OFFSET($H$3,0,0,'Données projet'!$E$14+1,1))</f>
        <v>382.14353215900121</v>
      </c>
      <c r="DU188" s="62">
        <f t="shared" si="152"/>
        <v>249.73945975250177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4.8033886623655251E-23</v>
      </c>
      <c r="ED188" s="24">
        <f t="shared" si="178"/>
        <v>4.8033886623655251E-23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-1.1368683772161603E-13</v>
      </c>
      <c r="O189" s="14">
        <f>N189*VLOOKUP('Données projet'!$B$9,Paramètres!$A$1:$I$89,3,0)*VLOOKUP('Données projet'!$B$9,Paramètres!$A$1:$I$89,5,0)</f>
        <v>-1.0286385077051818E-13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429.08375622925655</v>
      </c>
      <c r="T189" s="62">
        <f t="shared" si="142"/>
        <v>278.21741231699929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3.8626961638887827E-23</v>
      </c>
      <c r="AC189" s="24">
        <f t="shared" si="163"/>
        <v>3.8626961638887827E-23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-1.1368683772161603E-13</v>
      </c>
      <c r="AJ189" s="14">
        <f>AI189*VLOOKUP('Données projet'!$B$10,Paramètres!$A$1:$I$89,3,0)*VLOOKUP('Données projet'!$B$10,Paramètres!$A$1:$I$89,5,0)</f>
        <v>-1.0818439477588981E-13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449.16408464351673</v>
      </c>
      <c r="AO189" s="62">
        <f t="shared" si="144"/>
        <v>290.39826583283588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4.0624907930554461E-23</v>
      </c>
      <c r="AX189" s="23">
        <f t="shared" si="166"/>
        <v>4.0624907930554461E-23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-1.1368683772161603E-13</v>
      </c>
      <c r="BE189" s="14">
        <f>BD189*VLOOKUP('Données projet'!$B$11,Paramètres!$A$1:$I$89,3,0)*VLOOKUP('Données projet'!$B$11,Paramètres!$A$1:$I$89,5,0)</f>
        <v>-1.0995790944434703E-13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455.85294519779609</v>
      </c>
      <c r="BJ189" s="62">
        <f t="shared" si="146"/>
        <v>294.45557293177131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4.1290890027776653E-23</v>
      </c>
      <c r="BS189" s="24">
        <f t="shared" si="169"/>
        <v>4.1290890027776653E-23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5.6843418860808015E-14</v>
      </c>
      <c r="BZ189" s="14">
        <f>BY189*VLOOKUP('Données projet'!$B$12,Paramètres!$A$1:$I$89,3,0)*VLOOKUP('Données projet'!$B$12,Paramètres!$A$1:$I$89,5,0)</f>
        <v>4.9658410716801891E-14</v>
      </c>
      <c r="CA189" s="14">
        <f t="shared" si="170"/>
        <v>8.0934058173791862E-13</v>
      </c>
      <c r="CB189" s="22">
        <f t="shared" si="171"/>
        <v>1.4960899118586383E-12</v>
      </c>
      <c r="CC189" s="62">
        <f t="shared" si="119"/>
        <v>293.33333333333479</v>
      </c>
      <c r="CD189" s="62">
        <f ca="1">AVERAGE(OFFSET($CC$3,0,0,'Données projet'!$E$12+1,1))-AVERAGE(OFFSET($H$3,0,0,'Données projet'!$E$12+1,1))</f>
        <v>304.32767345253382</v>
      </c>
      <c r="CE189" s="62">
        <f t="shared" si="148"/>
        <v>427.16091343339173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-5.6843418860808015E-14</v>
      </c>
      <c r="CU189" s="18">
        <f>CT189*VLOOKUP('Données projet'!$B$13,Paramètres!$A$1:$I$89,3,0)*VLOOKUP('Données projet'!$B$13,Paramètres!$A$1:$I$89,5,0)</f>
        <v>-5.1431925385259088E-14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350.06545824795847</v>
      </c>
      <c r="CZ189" s="62">
        <f t="shared" si="150"/>
        <v>513.80016421153414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-1.1368683772161603E-13</v>
      </c>
      <c r="DP189" s="18">
        <f>DO189*VLOOKUP('Données projet'!$B$14,Paramètres!$A$1:$I$89,3,0)*VLOOKUP('Données projet'!$B$14,Paramètres!$A$1:$I$89,5,0)</f>
        <v>-9.0449248091317723E-14</v>
      </c>
      <c r="DQ189" s="14" t="e">
        <f t="shared" si="176"/>
        <v>#NUM!</v>
      </c>
      <c r="DR189" s="22" t="e">
        <f t="shared" si="177"/>
        <v>#NUM!</v>
      </c>
      <c r="DS189" s="62" t="e">
        <f t="shared" si="125"/>
        <v>#NUM!</v>
      </c>
      <c r="DT189" s="62">
        <f ca="1">AVERAGE(OFFSET($DS$3,0,0,'Données projet'!$E$14+1,1))-AVERAGE(OFFSET($H$3,0,0,'Données projet'!$E$14+1,1))</f>
        <v>382.14353215900121</v>
      </c>
      <c r="DU189" s="62">
        <f t="shared" si="152"/>
        <v>249.73945975250177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3.3965086958332425E-23</v>
      </c>
      <c r="ED189" s="24">
        <f t="shared" si="178"/>
        <v>3.3965086958332425E-23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-1.1368683772161603E-13</v>
      </c>
      <c r="O190" s="14">
        <f>N190*VLOOKUP('Données projet'!$B$9,Paramètres!$A$1:$I$89,3,0)*VLOOKUP('Données projet'!$B$9,Paramètres!$A$1:$I$89,5,0)</f>
        <v>-1.0286385077051818E-13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429.08375622925655</v>
      </c>
      <c r="T190" s="62">
        <f t="shared" si="142"/>
        <v>278.21741231699929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2.7313386511490219E-23</v>
      </c>
      <c r="AC190" s="24">
        <f t="shared" si="163"/>
        <v>2.7313386511490219E-23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-1.1368683772161603E-13</v>
      </c>
      <c r="AJ190" s="14">
        <f>AI190*VLOOKUP('Données projet'!$B$10,Paramètres!$A$1:$I$89,3,0)*VLOOKUP('Données projet'!$B$10,Paramètres!$A$1:$I$89,5,0)</f>
        <v>-1.0818439477588981E-13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449.16408464351673</v>
      </c>
      <c r="AO190" s="62">
        <f t="shared" si="144"/>
        <v>290.39826583283588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2.8726147882774212E-23</v>
      </c>
      <c r="AX190" s="23">
        <f t="shared" si="166"/>
        <v>2.8726147882774212E-23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-1.1368683772161603E-13</v>
      </c>
      <c r="BE190" s="14">
        <f>BD190*VLOOKUP('Données projet'!$B$11,Paramètres!$A$1:$I$89,3,0)*VLOOKUP('Données projet'!$B$11,Paramètres!$A$1:$I$89,5,0)</f>
        <v>-1.0995790944434703E-13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455.85294519779609</v>
      </c>
      <c r="BJ190" s="62">
        <f t="shared" si="146"/>
        <v>294.45557293177131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2.9197068339868863E-23</v>
      </c>
      <c r="BS190" s="24">
        <f t="shared" si="169"/>
        <v>2.9197068339868863E-23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5.6843418860808015E-14</v>
      </c>
      <c r="BZ190" s="14">
        <f>BY190*VLOOKUP('Données projet'!$B$12,Paramètres!$A$1:$I$89,3,0)*VLOOKUP('Données projet'!$B$12,Paramètres!$A$1:$I$89,5,0)</f>
        <v>4.9658410716801891E-14</v>
      </c>
      <c r="CA190" s="14">
        <f t="shared" si="170"/>
        <v>8.0934058173791862E-13</v>
      </c>
      <c r="CB190" s="22">
        <f t="shared" si="171"/>
        <v>1.4960899118586383E-12</v>
      </c>
      <c r="CC190" s="62">
        <f t="shared" si="119"/>
        <v>293.33333333333479</v>
      </c>
      <c r="CD190" s="62">
        <f ca="1">AVERAGE(OFFSET($CC$3,0,0,'Données projet'!$E$12+1,1))-AVERAGE(OFFSET($H$3,0,0,'Données projet'!$E$12+1,1))</f>
        <v>304.32767345253382</v>
      </c>
      <c r="CE190" s="62">
        <f t="shared" si="148"/>
        <v>427.16091343339173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-5.6843418860808015E-14</v>
      </c>
      <c r="CU190" s="18">
        <f>CT190*VLOOKUP('Données projet'!$B$13,Paramètres!$A$1:$I$89,3,0)*VLOOKUP('Données projet'!$B$13,Paramètres!$A$1:$I$89,5,0)</f>
        <v>-5.1431925385259088E-14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350.06545824795847</v>
      </c>
      <c r="CZ190" s="62">
        <f t="shared" si="150"/>
        <v>513.80016421153414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-1.1368683772161603E-13</v>
      </c>
      <c r="DP190" s="18">
        <f>DO190*VLOOKUP('Données projet'!$B$14,Paramètres!$A$1:$I$89,3,0)*VLOOKUP('Données projet'!$B$14,Paramètres!$A$1:$I$89,5,0)</f>
        <v>-9.0449248091317723E-14</v>
      </c>
      <c r="DQ190" s="14" t="e">
        <f t="shared" si="176"/>
        <v>#NUM!</v>
      </c>
      <c r="DR190" s="22" t="e">
        <f t="shared" si="177"/>
        <v>#NUM!</v>
      </c>
      <c r="DS190" s="62" t="e">
        <f t="shared" si="125"/>
        <v>#NUM!</v>
      </c>
      <c r="DT190" s="62">
        <f ca="1">AVERAGE(OFFSET($DS$3,0,0,'Données projet'!$E$14+1,1))-AVERAGE(OFFSET($H$3,0,0,'Données projet'!$E$14+1,1))</f>
        <v>382.14353215900121</v>
      </c>
      <c r="DU190" s="62">
        <f t="shared" si="152"/>
        <v>249.73945975250177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2.4016943311827625E-23</v>
      </c>
      <c r="ED190" s="24">
        <f t="shared" si="178"/>
        <v>2.4016943311827625E-23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-1.1368683772161603E-13</v>
      </c>
      <c r="O191" s="14">
        <f>N191*VLOOKUP('Données projet'!$B$9,Paramètres!$A$1:$I$89,3,0)*VLOOKUP('Données projet'!$B$9,Paramètres!$A$1:$I$89,5,0)</f>
        <v>-1.0286385077051818E-13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429.08375622925655</v>
      </c>
      <c r="T191" s="62">
        <f t="shared" si="142"/>
        <v>278.21741231699929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1.9313480819443913E-23</v>
      </c>
      <c r="AC191" s="24">
        <f t="shared" si="163"/>
        <v>1.9313480819443913E-23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-1.1368683772161603E-13</v>
      </c>
      <c r="AJ191" s="14">
        <f>AI191*VLOOKUP('Données projet'!$B$10,Paramètres!$A$1:$I$89,3,0)*VLOOKUP('Données projet'!$B$10,Paramètres!$A$1:$I$89,5,0)</f>
        <v>-1.0818439477588981E-13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449.16408464351673</v>
      </c>
      <c r="AO191" s="62">
        <f t="shared" si="144"/>
        <v>290.39826583283588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2.0312453965277231E-23</v>
      </c>
      <c r="AX191" s="23">
        <f t="shared" si="166"/>
        <v>2.0312453965277231E-23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-1.1368683772161603E-13</v>
      </c>
      <c r="BE191" s="14">
        <f>BD191*VLOOKUP('Données projet'!$B$11,Paramètres!$A$1:$I$89,3,0)*VLOOKUP('Données projet'!$B$11,Paramètres!$A$1:$I$89,5,0)</f>
        <v>-1.0995790944434703E-13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455.85294519779609</v>
      </c>
      <c r="BJ191" s="62">
        <f t="shared" si="146"/>
        <v>294.45557293177131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2.0645445013888326E-23</v>
      </c>
      <c r="BS191" s="24">
        <f t="shared" si="169"/>
        <v>2.0645445013888326E-23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5.6843418860808015E-14</v>
      </c>
      <c r="BZ191" s="14">
        <f>BY191*VLOOKUP('Données projet'!$B$12,Paramètres!$A$1:$I$89,3,0)*VLOOKUP('Données projet'!$B$12,Paramètres!$A$1:$I$89,5,0)</f>
        <v>4.9658410716801891E-14</v>
      </c>
      <c r="CA191" s="14">
        <f t="shared" si="170"/>
        <v>8.0934058173791862E-13</v>
      </c>
      <c r="CB191" s="22">
        <f t="shared" si="171"/>
        <v>1.4960899118586383E-12</v>
      </c>
      <c r="CC191" s="62">
        <f t="shared" si="119"/>
        <v>293.33333333333479</v>
      </c>
      <c r="CD191" s="62">
        <f ca="1">AVERAGE(OFFSET($CC$3,0,0,'Données projet'!$E$12+1,1))-AVERAGE(OFFSET($H$3,0,0,'Données projet'!$E$12+1,1))</f>
        <v>304.32767345253382</v>
      </c>
      <c r="CE191" s="62">
        <f t="shared" si="148"/>
        <v>427.16091343339173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-5.6843418860808015E-14</v>
      </c>
      <c r="CU191" s="18">
        <f>CT191*VLOOKUP('Données projet'!$B$13,Paramètres!$A$1:$I$89,3,0)*VLOOKUP('Données projet'!$B$13,Paramètres!$A$1:$I$89,5,0)</f>
        <v>-5.1431925385259088E-14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350.06545824795847</v>
      </c>
      <c r="CZ191" s="62">
        <f t="shared" si="150"/>
        <v>513.80016421153414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-1.1368683772161603E-13</v>
      </c>
      <c r="DP191" s="18">
        <f>DO191*VLOOKUP('Données projet'!$B$14,Paramètres!$A$1:$I$89,3,0)*VLOOKUP('Données projet'!$B$14,Paramètres!$A$1:$I$89,5,0)</f>
        <v>-9.0449248091317723E-14</v>
      </c>
      <c r="DQ191" s="14" t="e">
        <f t="shared" si="176"/>
        <v>#NUM!</v>
      </c>
      <c r="DR191" s="22" t="e">
        <f t="shared" si="177"/>
        <v>#NUM!</v>
      </c>
      <c r="DS191" s="62" t="e">
        <f t="shared" si="125"/>
        <v>#NUM!</v>
      </c>
      <c r="DT191" s="62">
        <f ca="1">AVERAGE(OFFSET($DS$3,0,0,'Données projet'!$E$14+1,1))-AVERAGE(OFFSET($H$3,0,0,'Données projet'!$E$14+1,1))</f>
        <v>382.14353215900121</v>
      </c>
      <c r="DU191" s="62">
        <f t="shared" si="152"/>
        <v>249.73945975250177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1.6982543479166213E-23</v>
      </c>
      <c r="ED191" s="24">
        <f t="shared" si="178"/>
        <v>1.6982543479166213E-23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-1.1368683772161603E-13</v>
      </c>
      <c r="O192" s="14">
        <f>N192*VLOOKUP('Données projet'!$B$9,Paramètres!$A$1:$I$89,3,0)*VLOOKUP('Données projet'!$B$9,Paramètres!$A$1:$I$89,5,0)</f>
        <v>-1.0286385077051818E-13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429.08375622925655</v>
      </c>
      <c r="T192" s="62">
        <f t="shared" si="142"/>
        <v>278.21741231699929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1.3656693255745109E-23</v>
      </c>
      <c r="AC192" s="24">
        <f t="shared" si="163"/>
        <v>1.3656693255745109E-23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-1.1368683772161603E-13</v>
      </c>
      <c r="AJ192" s="14">
        <f>AI192*VLOOKUP('Données projet'!$B$10,Paramètres!$A$1:$I$89,3,0)*VLOOKUP('Données projet'!$B$10,Paramètres!$A$1:$I$89,5,0)</f>
        <v>-1.0818439477588981E-13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449.16408464351673</v>
      </c>
      <c r="AO192" s="62">
        <f t="shared" si="144"/>
        <v>290.39826583283588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1.4363073941387106E-23</v>
      </c>
      <c r="AX192" s="23">
        <f t="shared" si="166"/>
        <v>1.4363073941387106E-23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-1.1368683772161603E-13</v>
      </c>
      <c r="BE192" s="14">
        <f>BD192*VLOOKUP('Données projet'!$B$11,Paramètres!$A$1:$I$89,3,0)*VLOOKUP('Données projet'!$B$11,Paramètres!$A$1:$I$89,5,0)</f>
        <v>-1.0995790944434703E-13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455.85294519779609</v>
      </c>
      <c r="BJ192" s="62">
        <f t="shared" si="146"/>
        <v>294.45557293177131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1.4598534169934431E-23</v>
      </c>
      <c r="BS192" s="24">
        <f t="shared" si="169"/>
        <v>1.4598534169934431E-23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5.6843418860808015E-14</v>
      </c>
      <c r="BZ192" s="14">
        <f>BY192*VLOOKUP('Données projet'!$B$12,Paramètres!$A$1:$I$89,3,0)*VLOOKUP('Données projet'!$B$12,Paramètres!$A$1:$I$89,5,0)</f>
        <v>4.9658410716801891E-14</v>
      </c>
      <c r="CA192" s="14">
        <f t="shared" si="170"/>
        <v>8.0934058173791862E-13</v>
      </c>
      <c r="CB192" s="22">
        <f t="shared" si="171"/>
        <v>1.4960899118586383E-12</v>
      </c>
      <c r="CC192" s="62">
        <f t="shared" si="119"/>
        <v>293.33333333333479</v>
      </c>
      <c r="CD192" s="62">
        <f ca="1">AVERAGE(OFFSET($CC$3,0,0,'Données projet'!$E$12+1,1))-AVERAGE(OFFSET($H$3,0,0,'Données projet'!$E$12+1,1))</f>
        <v>304.32767345253382</v>
      </c>
      <c r="CE192" s="62">
        <f t="shared" si="148"/>
        <v>427.16091343339173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-5.6843418860808015E-14</v>
      </c>
      <c r="CU192" s="18">
        <f>CT192*VLOOKUP('Données projet'!$B$13,Paramètres!$A$1:$I$89,3,0)*VLOOKUP('Données projet'!$B$13,Paramètres!$A$1:$I$89,5,0)</f>
        <v>-5.1431925385259088E-14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350.06545824795847</v>
      </c>
      <c r="CZ192" s="62">
        <f t="shared" si="150"/>
        <v>513.80016421153414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-1.1368683772161603E-13</v>
      </c>
      <c r="DP192" s="18">
        <f>DO192*VLOOKUP('Données projet'!$B$14,Paramètres!$A$1:$I$89,3,0)*VLOOKUP('Données projet'!$B$14,Paramètres!$A$1:$I$89,5,0)</f>
        <v>-9.0449248091317723E-14</v>
      </c>
      <c r="DQ192" s="14" t="e">
        <f t="shared" si="176"/>
        <v>#NUM!</v>
      </c>
      <c r="DR192" s="22" t="e">
        <f t="shared" si="177"/>
        <v>#NUM!</v>
      </c>
      <c r="DS192" s="62" t="e">
        <f t="shared" si="125"/>
        <v>#NUM!</v>
      </c>
      <c r="DT192" s="62">
        <f ca="1">AVERAGE(OFFSET($DS$3,0,0,'Données projet'!$E$14+1,1))-AVERAGE(OFFSET($H$3,0,0,'Données projet'!$E$14+1,1))</f>
        <v>382.14353215900121</v>
      </c>
      <c r="DU192" s="62">
        <f t="shared" si="152"/>
        <v>249.73945975250177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1.2008471655913813E-23</v>
      </c>
      <c r="ED192" s="24">
        <f t="shared" si="178"/>
        <v>1.2008471655913813E-23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-1.1368683772161603E-13</v>
      </c>
      <c r="O193" s="14">
        <f>N193*VLOOKUP('Données projet'!$B$9,Paramètres!$A$1:$I$89,3,0)*VLOOKUP('Données projet'!$B$9,Paramètres!$A$1:$I$89,5,0)</f>
        <v>-1.0286385077051818E-13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429.08375622925655</v>
      </c>
      <c r="T193" s="62">
        <f t="shared" si="142"/>
        <v>278.21741231699929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9.6567404097219567E-24</v>
      </c>
      <c r="AC193" s="24">
        <f t="shared" si="163"/>
        <v>9.6567404097219567E-24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-1.1368683772161603E-13</v>
      </c>
      <c r="AJ193" s="14">
        <f>AI193*VLOOKUP('Données projet'!$B$10,Paramètres!$A$1:$I$89,3,0)*VLOOKUP('Données projet'!$B$10,Paramètres!$A$1:$I$89,5,0)</f>
        <v>-1.0818439477588981E-13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449.16408464351673</v>
      </c>
      <c r="AO193" s="62">
        <f t="shared" si="144"/>
        <v>290.39826583283588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1.0156226982638615E-23</v>
      </c>
      <c r="AX193" s="23">
        <f t="shared" si="166"/>
        <v>1.0156226982638615E-23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-1.1368683772161603E-13</v>
      </c>
      <c r="BE193" s="14">
        <f>BD193*VLOOKUP('Données projet'!$B$11,Paramètres!$A$1:$I$89,3,0)*VLOOKUP('Données projet'!$B$11,Paramètres!$A$1:$I$89,5,0)</f>
        <v>-1.0995790944434703E-13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455.85294519779609</v>
      </c>
      <c r="BJ193" s="62">
        <f t="shared" si="146"/>
        <v>294.45557293177131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1.0322722506944163E-23</v>
      </c>
      <c r="BS193" s="24">
        <f t="shared" si="169"/>
        <v>1.0322722506944163E-23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5.6843418860808015E-14</v>
      </c>
      <c r="BZ193" s="14">
        <f>BY193*VLOOKUP('Données projet'!$B$12,Paramètres!$A$1:$I$89,3,0)*VLOOKUP('Données projet'!$B$12,Paramètres!$A$1:$I$89,5,0)</f>
        <v>4.9658410716801891E-14</v>
      </c>
      <c r="CA193" s="14">
        <f t="shared" si="170"/>
        <v>8.0934058173791862E-13</v>
      </c>
      <c r="CB193" s="22">
        <f t="shared" si="171"/>
        <v>1.4960899118586383E-12</v>
      </c>
      <c r="CC193" s="62">
        <f t="shared" si="119"/>
        <v>293.33333333333479</v>
      </c>
      <c r="CD193" s="62">
        <f ca="1">AVERAGE(OFFSET($CC$3,0,0,'Données projet'!$E$12+1,1))-AVERAGE(OFFSET($H$3,0,0,'Données projet'!$E$12+1,1))</f>
        <v>304.32767345253382</v>
      </c>
      <c r="CE193" s="62">
        <f t="shared" si="148"/>
        <v>427.16091343339173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-5.6843418860808015E-14</v>
      </c>
      <c r="CU193" s="18">
        <f>CT193*VLOOKUP('Données projet'!$B$13,Paramètres!$A$1:$I$89,3,0)*VLOOKUP('Données projet'!$B$13,Paramètres!$A$1:$I$89,5,0)</f>
        <v>-5.1431925385259088E-14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350.06545824795847</v>
      </c>
      <c r="CZ193" s="62">
        <f t="shared" si="150"/>
        <v>513.80016421153414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-1.1368683772161603E-13</v>
      </c>
      <c r="DP193" s="18">
        <f>DO193*VLOOKUP('Données projet'!$B$14,Paramètres!$A$1:$I$89,3,0)*VLOOKUP('Données projet'!$B$14,Paramètres!$A$1:$I$89,5,0)</f>
        <v>-9.0449248091317723E-14</v>
      </c>
      <c r="DQ193" s="14" t="e">
        <f t="shared" si="176"/>
        <v>#NUM!</v>
      </c>
      <c r="DR193" s="22" t="e">
        <f t="shared" si="177"/>
        <v>#NUM!</v>
      </c>
      <c r="DS193" s="62" t="e">
        <f t="shared" si="125"/>
        <v>#NUM!</v>
      </c>
      <c r="DT193" s="62">
        <f ca="1">AVERAGE(OFFSET($DS$3,0,0,'Données projet'!$E$14+1,1))-AVERAGE(OFFSET($H$3,0,0,'Données projet'!$E$14+1,1))</f>
        <v>382.14353215900121</v>
      </c>
      <c r="DU193" s="62">
        <f t="shared" si="152"/>
        <v>249.73945975250177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8.4912717395831063E-24</v>
      </c>
      <c r="ED193" s="24">
        <f t="shared" si="178"/>
        <v>8.4912717395831063E-24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-1.1368683772161603E-13</v>
      </c>
      <c r="O194" s="14">
        <f>N194*VLOOKUP('Données projet'!$B$9,Paramètres!$A$1:$I$89,3,0)*VLOOKUP('Données projet'!$B$9,Paramètres!$A$1:$I$89,5,0)</f>
        <v>-1.0286385077051818E-13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429.08375622925655</v>
      </c>
      <c r="T194" s="62">
        <f t="shared" si="142"/>
        <v>278.21741231699929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6.8283466278725547E-24</v>
      </c>
      <c r="AC194" s="24">
        <f t="shared" si="163"/>
        <v>6.8283466278725547E-24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-1.1368683772161603E-13</v>
      </c>
      <c r="AJ194" s="14">
        <f>AI194*VLOOKUP('Données projet'!$B$10,Paramètres!$A$1:$I$89,3,0)*VLOOKUP('Données projet'!$B$10,Paramètres!$A$1:$I$89,5,0)</f>
        <v>-1.0818439477588981E-13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449.16408464351673</v>
      </c>
      <c r="AO194" s="62">
        <f t="shared" si="144"/>
        <v>290.39826583283588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7.181536970693553E-24</v>
      </c>
      <c r="AX194" s="23">
        <f t="shared" si="166"/>
        <v>7.181536970693553E-24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-1.1368683772161603E-13</v>
      </c>
      <c r="BE194" s="14">
        <f>BD194*VLOOKUP('Données projet'!$B$11,Paramètres!$A$1:$I$89,3,0)*VLOOKUP('Données projet'!$B$11,Paramètres!$A$1:$I$89,5,0)</f>
        <v>-1.0995790944434703E-13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455.85294519779609</v>
      </c>
      <c r="BJ194" s="62">
        <f t="shared" si="146"/>
        <v>294.45557293177131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7.2992670849672157E-24</v>
      </c>
      <c r="BS194" s="24">
        <f t="shared" si="169"/>
        <v>7.2992670849672157E-24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5.6843418860808015E-14</v>
      </c>
      <c r="BZ194" s="14">
        <f>BY194*VLOOKUP('Données projet'!$B$12,Paramètres!$A$1:$I$89,3,0)*VLOOKUP('Données projet'!$B$12,Paramètres!$A$1:$I$89,5,0)</f>
        <v>4.9658410716801891E-14</v>
      </c>
      <c r="CA194" s="14">
        <f t="shared" si="170"/>
        <v>8.0934058173791862E-13</v>
      </c>
      <c r="CB194" s="22">
        <f t="shared" si="171"/>
        <v>1.4960899118586383E-12</v>
      </c>
      <c r="CC194" s="62">
        <f t="shared" si="119"/>
        <v>293.33333333333479</v>
      </c>
      <c r="CD194" s="62">
        <f ca="1">AVERAGE(OFFSET($CC$3,0,0,'Données projet'!$E$12+1,1))-AVERAGE(OFFSET($H$3,0,0,'Données projet'!$E$12+1,1))</f>
        <v>304.32767345253382</v>
      </c>
      <c r="CE194" s="62">
        <f t="shared" si="148"/>
        <v>427.16091343339173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-5.6843418860808015E-14</v>
      </c>
      <c r="CU194" s="18">
        <f>CT194*VLOOKUP('Données projet'!$B$13,Paramètres!$A$1:$I$89,3,0)*VLOOKUP('Données projet'!$B$13,Paramètres!$A$1:$I$89,5,0)</f>
        <v>-5.1431925385259088E-14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350.06545824795847</v>
      </c>
      <c r="CZ194" s="62">
        <f t="shared" si="150"/>
        <v>513.80016421153414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-1.1368683772161603E-13</v>
      </c>
      <c r="DP194" s="18">
        <f>DO194*VLOOKUP('Données projet'!$B$14,Paramètres!$A$1:$I$89,3,0)*VLOOKUP('Données projet'!$B$14,Paramètres!$A$1:$I$89,5,0)</f>
        <v>-9.0449248091317723E-14</v>
      </c>
      <c r="DQ194" s="14" t="e">
        <f t="shared" si="176"/>
        <v>#NUM!</v>
      </c>
      <c r="DR194" s="22" t="e">
        <f t="shared" si="177"/>
        <v>#NUM!</v>
      </c>
      <c r="DS194" s="62" t="e">
        <f t="shared" si="125"/>
        <v>#NUM!</v>
      </c>
      <c r="DT194" s="62">
        <f ca="1">AVERAGE(OFFSET($DS$3,0,0,'Données projet'!$E$14+1,1))-AVERAGE(OFFSET($H$3,0,0,'Données projet'!$E$14+1,1))</f>
        <v>382.14353215900121</v>
      </c>
      <c r="DU194" s="62">
        <f t="shared" si="152"/>
        <v>249.73945975250177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6.0042358279569063E-24</v>
      </c>
      <c r="ED194" s="24">
        <f t="shared" si="178"/>
        <v>6.0042358279569063E-24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-1.1368683772161603E-13</v>
      </c>
      <c r="O195" s="14">
        <f>N195*VLOOKUP('Données projet'!$B$9,Paramètres!$A$1:$I$89,3,0)*VLOOKUP('Données projet'!$B$9,Paramètres!$A$1:$I$89,5,0)</f>
        <v>-1.0286385077051818E-13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429.08375622925655</v>
      </c>
      <c r="T195" s="62">
        <f t="shared" si="142"/>
        <v>278.21741231699929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4.8283702048609783E-24</v>
      </c>
      <c r="AC195" s="24">
        <f t="shared" si="163"/>
        <v>4.8283702048609783E-24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-1.1368683772161603E-13</v>
      </c>
      <c r="AJ195" s="14">
        <f>AI195*VLOOKUP('Données projet'!$B$10,Paramètres!$A$1:$I$89,3,0)*VLOOKUP('Données projet'!$B$10,Paramètres!$A$1:$I$89,5,0)</f>
        <v>-1.0818439477588981E-13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449.16408464351673</v>
      </c>
      <c r="AO195" s="62">
        <f t="shared" si="144"/>
        <v>290.39826583283588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5.0781134913193076E-24</v>
      </c>
      <c r="AX195" s="23">
        <f t="shared" si="166"/>
        <v>5.0781134913193076E-24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-1.1368683772161603E-13</v>
      </c>
      <c r="BE195" s="14">
        <f>BD195*VLOOKUP('Données projet'!$B$11,Paramètres!$A$1:$I$89,3,0)*VLOOKUP('Données projet'!$B$11,Paramètres!$A$1:$I$89,5,0)</f>
        <v>-1.0995790944434703E-13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455.85294519779609</v>
      </c>
      <c r="BJ195" s="62">
        <f t="shared" si="146"/>
        <v>294.45557293177131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5.1613612534720816E-24</v>
      </c>
      <c r="BS195" s="24">
        <f t="shared" si="169"/>
        <v>5.1613612534720816E-24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5.6843418860808015E-14</v>
      </c>
      <c r="BZ195" s="14">
        <f>BY195*VLOOKUP('Données projet'!$B$12,Paramètres!$A$1:$I$89,3,0)*VLOOKUP('Données projet'!$B$12,Paramètres!$A$1:$I$89,5,0)</f>
        <v>4.9658410716801891E-14</v>
      </c>
      <c r="CA195" s="14">
        <f t="shared" si="170"/>
        <v>8.0934058173791862E-13</v>
      </c>
      <c r="CB195" s="22">
        <f t="shared" si="171"/>
        <v>1.4960899118586383E-12</v>
      </c>
      <c r="CC195" s="62">
        <f t="shared" si="119"/>
        <v>293.33333333333479</v>
      </c>
      <c r="CD195" s="62">
        <f ca="1">AVERAGE(OFFSET($CC$3,0,0,'Données projet'!$E$12+1,1))-AVERAGE(OFFSET($H$3,0,0,'Données projet'!$E$12+1,1))</f>
        <v>304.32767345253382</v>
      </c>
      <c r="CE195" s="62">
        <f t="shared" si="148"/>
        <v>427.16091343339173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-5.6843418860808015E-14</v>
      </c>
      <c r="CU195" s="18">
        <f>CT195*VLOOKUP('Données projet'!$B$13,Paramètres!$A$1:$I$89,3,0)*VLOOKUP('Données projet'!$B$13,Paramètres!$A$1:$I$89,5,0)</f>
        <v>-5.1431925385259088E-14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350.06545824795847</v>
      </c>
      <c r="CZ195" s="62">
        <f t="shared" si="150"/>
        <v>513.80016421153414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-1.1368683772161603E-13</v>
      </c>
      <c r="DP195" s="18">
        <f>DO195*VLOOKUP('Données projet'!$B$14,Paramètres!$A$1:$I$89,3,0)*VLOOKUP('Données projet'!$B$14,Paramètres!$A$1:$I$89,5,0)</f>
        <v>-9.0449248091317723E-14</v>
      </c>
      <c r="DQ195" s="14" t="e">
        <f t="shared" si="176"/>
        <v>#NUM!</v>
      </c>
      <c r="DR195" s="22" t="e">
        <f t="shared" si="177"/>
        <v>#NUM!</v>
      </c>
      <c r="DS195" s="62" t="e">
        <f t="shared" si="125"/>
        <v>#NUM!</v>
      </c>
      <c r="DT195" s="62">
        <f ca="1">AVERAGE(OFFSET($DS$3,0,0,'Données projet'!$E$14+1,1))-AVERAGE(OFFSET($H$3,0,0,'Données projet'!$E$14+1,1))</f>
        <v>382.14353215900121</v>
      </c>
      <c r="DU195" s="62">
        <f t="shared" si="152"/>
        <v>249.73945975250177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4.2456358697915531E-24</v>
      </c>
      <c r="ED195" s="24">
        <f t="shared" si="178"/>
        <v>4.2456358697915531E-24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-1.1368683772161603E-13</v>
      </c>
      <c r="O196" s="14">
        <f>N196*VLOOKUP('Données projet'!$B$9,Paramètres!$A$1:$I$89,3,0)*VLOOKUP('Données projet'!$B$9,Paramètres!$A$1:$I$89,5,0)</f>
        <v>-1.0286385077051818E-13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429.08375622925655</v>
      </c>
      <c r="T196" s="62">
        <f t="shared" si="142"/>
        <v>278.21741231699929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3.4141733139362773E-24</v>
      </c>
      <c r="AC196" s="24">
        <f t="shared" si="163"/>
        <v>3.4141733139362773E-24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-1.1368683772161603E-13</v>
      </c>
      <c r="AJ196" s="14">
        <f>AI196*VLOOKUP('Données projet'!$B$10,Paramètres!$A$1:$I$89,3,0)*VLOOKUP('Données projet'!$B$10,Paramètres!$A$1:$I$89,5,0)</f>
        <v>-1.0818439477588981E-13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449.16408464351673</v>
      </c>
      <c r="AO196" s="62">
        <f t="shared" si="144"/>
        <v>290.39826583283588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3.5907684853467765E-24</v>
      </c>
      <c r="AX196" s="23">
        <f t="shared" si="166"/>
        <v>3.5907684853467765E-24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-1.1368683772161603E-13</v>
      </c>
      <c r="BE196" s="14">
        <f>BD196*VLOOKUP('Données projet'!$B$11,Paramètres!$A$1:$I$89,3,0)*VLOOKUP('Données projet'!$B$11,Paramètres!$A$1:$I$89,5,0)</f>
        <v>-1.0995790944434703E-13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455.85294519779609</v>
      </c>
      <c r="BJ196" s="62">
        <f t="shared" si="146"/>
        <v>294.45557293177131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3.6496335424836078E-24</v>
      </c>
      <c r="BS196" s="24">
        <f t="shared" si="169"/>
        <v>3.6496335424836078E-24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5.6843418860808015E-14</v>
      </c>
      <c r="BZ196" s="14">
        <f>BY196*VLOOKUP('Données projet'!$B$12,Paramètres!$A$1:$I$89,3,0)*VLOOKUP('Données projet'!$B$12,Paramètres!$A$1:$I$89,5,0)</f>
        <v>4.9658410716801891E-14</v>
      </c>
      <c r="CA196" s="14">
        <f t="shared" si="170"/>
        <v>8.0934058173791862E-13</v>
      </c>
      <c r="CB196" s="22">
        <f t="shared" si="171"/>
        <v>1.4960899118586383E-12</v>
      </c>
      <c r="CC196" s="62">
        <f t="shared" ref="CC196:CC203" si="195">CB196+(BT196+BU196)*44/12</f>
        <v>293.33333333333479</v>
      </c>
      <c r="CD196" s="62">
        <f ca="1">AVERAGE(OFFSET($CC$3,0,0,'Données projet'!$E$12+1,1))-AVERAGE(OFFSET($H$3,0,0,'Données projet'!$E$12+1,1))</f>
        <v>304.32767345253382</v>
      </c>
      <c r="CE196" s="62">
        <f t="shared" si="148"/>
        <v>427.16091343339173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-5.6843418860808015E-14</v>
      </c>
      <c r="CU196" s="18">
        <f>CT196*VLOOKUP('Données projet'!$B$13,Paramètres!$A$1:$I$89,3,0)*VLOOKUP('Données projet'!$B$13,Paramètres!$A$1:$I$89,5,0)</f>
        <v>-5.1431925385259088E-14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350.06545824795847</v>
      </c>
      <c r="CZ196" s="62">
        <f t="shared" si="150"/>
        <v>513.80016421153414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-1.1368683772161603E-13</v>
      </c>
      <c r="DP196" s="18">
        <f>DO196*VLOOKUP('Données projet'!$B$14,Paramètres!$A$1:$I$89,3,0)*VLOOKUP('Données projet'!$B$14,Paramètres!$A$1:$I$89,5,0)</f>
        <v>-9.0449248091317723E-14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197">DR196+(DJ196+DK196)*44/12</f>
        <v>#NUM!</v>
      </c>
      <c r="DT196" s="62">
        <f ca="1">AVERAGE(OFFSET($DS$3,0,0,'Données projet'!$E$14+1,1))-AVERAGE(OFFSET($H$3,0,0,'Données projet'!$E$14+1,1))</f>
        <v>382.14353215900121</v>
      </c>
      <c r="DU196" s="62">
        <f t="shared" si="152"/>
        <v>249.73945975250177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3.0021179139784532E-24</v>
      </c>
      <c r="ED196" s="24">
        <f t="shared" si="178"/>
        <v>3.0021179139784532E-24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-1.1368683772161603E-13</v>
      </c>
      <c r="O197" s="14">
        <f>N197*VLOOKUP('Données projet'!$B$9,Paramètres!$A$1:$I$89,3,0)*VLOOKUP('Données projet'!$B$9,Paramètres!$A$1:$I$89,5,0)</f>
        <v>-1.0286385077051818E-13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429.08375622925655</v>
      </c>
      <c r="T197" s="62">
        <f t="shared" ref="T197:T203" si="204">$T$3</f>
        <v>278.21741231699929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2.4141851024304892E-24</v>
      </c>
      <c r="AC197" s="24">
        <f t="shared" si="163"/>
        <v>2.4141851024304892E-24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-1.1368683772161603E-13</v>
      </c>
      <c r="AJ197" s="14">
        <f>AI197*VLOOKUP('Données projet'!$B$10,Paramètres!$A$1:$I$89,3,0)*VLOOKUP('Données projet'!$B$10,Paramètres!$A$1:$I$89,5,0)</f>
        <v>-1.0818439477588981E-13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449.16408464351673</v>
      </c>
      <c r="AO197" s="62">
        <f t="shared" ref="AO197:AO203" si="205">$AO$3</f>
        <v>290.39826583283588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2.5390567456596538E-24</v>
      </c>
      <c r="AX197" s="23">
        <f t="shared" si="166"/>
        <v>2.5390567456596538E-24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-1.1368683772161603E-13</v>
      </c>
      <c r="BE197" s="14">
        <f>BD197*VLOOKUP('Données projet'!$B$11,Paramètres!$A$1:$I$89,3,0)*VLOOKUP('Données projet'!$B$11,Paramètres!$A$1:$I$89,5,0)</f>
        <v>-1.0995790944434703E-13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455.85294519779609</v>
      </c>
      <c r="BJ197" s="62">
        <f t="shared" ref="BJ197:BJ203" si="206">$BJ$3</f>
        <v>294.45557293177131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2.5806806267360408E-24</v>
      </c>
      <c r="BS197" s="24">
        <f t="shared" si="169"/>
        <v>2.5806806267360408E-24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5.6843418860808015E-14</v>
      </c>
      <c r="BZ197" s="14">
        <f>BY197*VLOOKUP('Données projet'!$B$12,Paramètres!$A$1:$I$89,3,0)*VLOOKUP('Données projet'!$B$12,Paramètres!$A$1:$I$89,5,0)</f>
        <v>4.9658410716801891E-14</v>
      </c>
      <c r="CA197" s="14">
        <f t="shared" si="170"/>
        <v>8.0934058173791862E-13</v>
      </c>
      <c r="CB197" s="22">
        <f t="shared" si="171"/>
        <v>1.4960899118586383E-12</v>
      </c>
      <c r="CC197" s="62">
        <f t="shared" si="195"/>
        <v>293.33333333333479</v>
      </c>
      <c r="CD197" s="62">
        <f ca="1">AVERAGE(OFFSET($CC$3,0,0,'Données projet'!$E$12+1,1))-AVERAGE(OFFSET($H$3,0,0,'Données projet'!$E$12+1,1))</f>
        <v>304.32767345253382</v>
      </c>
      <c r="CE197" s="62">
        <f t="shared" ref="CE197:CE203" si="207">$CE$3</f>
        <v>427.16091343339173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-5.6843418860808015E-14</v>
      </c>
      <c r="CU197" s="18">
        <f>CT197*VLOOKUP('Données projet'!$B$13,Paramètres!$A$1:$I$89,3,0)*VLOOKUP('Données projet'!$B$13,Paramètres!$A$1:$I$89,5,0)</f>
        <v>-5.1431925385259088E-14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350.06545824795847</v>
      </c>
      <c r="CZ197" s="62">
        <f t="shared" ref="CZ197:CZ203" si="208">$CZ$3</f>
        <v>513.80016421153414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-1.1368683772161603E-13</v>
      </c>
      <c r="DP197" s="18">
        <f>DO197*VLOOKUP('Données projet'!$B$14,Paramètres!$A$1:$I$89,3,0)*VLOOKUP('Données projet'!$B$14,Paramètres!$A$1:$I$89,5,0)</f>
        <v>-9.0449248091317723E-14</v>
      </c>
      <c r="DQ197" s="14" t="e">
        <f t="shared" si="176"/>
        <v>#NUM!</v>
      </c>
      <c r="DR197" s="22" t="e">
        <f t="shared" si="177"/>
        <v>#NUM!</v>
      </c>
      <c r="DS197" s="62" t="e">
        <f t="shared" si="197"/>
        <v>#NUM!</v>
      </c>
      <c r="DT197" s="62">
        <f ca="1">AVERAGE(OFFSET($DS$3,0,0,'Données projet'!$E$14+1,1))-AVERAGE(OFFSET($H$3,0,0,'Données projet'!$E$14+1,1))</f>
        <v>382.14353215900121</v>
      </c>
      <c r="DU197" s="62">
        <f t="shared" ref="DU197:DU203" si="209">$DU$3</f>
        <v>249.73945975250177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2.1228179348957766E-24</v>
      </c>
      <c r="ED197" s="24">
        <f t="shared" si="178"/>
        <v>2.1228179348957766E-24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-1.1368683772161603E-13</v>
      </c>
      <c r="O198" s="14">
        <f>N198*VLOOKUP('Données projet'!$B$9,Paramètres!$A$1:$I$89,3,0)*VLOOKUP('Données projet'!$B$9,Paramètres!$A$1:$I$89,5,0)</f>
        <v>-1.0286385077051818E-13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429.08375622925655</v>
      </c>
      <c r="T198" s="62">
        <f t="shared" si="204"/>
        <v>278.21741231699929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1.7070866569681387E-24</v>
      </c>
      <c r="AC198" s="24">
        <f t="shared" si="163"/>
        <v>1.7070866569681387E-24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-1.1368683772161603E-13</v>
      </c>
      <c r="AJ198" s="14">
        <f>AI198*VLOOKUP('Données projet'!$B$10,Paramètres!$A$1:$I$89,3,0)*VLOOKUP('Données projet'!$B$10,Paramètres!$A$1:$I$89,5,0)</f>
        <v>-1.0818439477588981E-13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449.16408464351673</v>
      </c>
      <c r="AO198" s="62">
        <f t="shared" si="205"/>
        <v>290.39826583283588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1.7953842426733883E-24</v>
      </c>
      <c r="AX198" s="23">
        <f t="shared" si="166"/>
        <v>1.7953842426733883E-24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-1.1368683772161603E-13</v>
      </c>
      <c r="BE198" s="14">
        <f>BD198*VLOOKUP('Données projet'!$B$11,Paramètres!$A$1:$I$89,3,0)*VLOOKUP('Données projet'!$B$11,Paramètres!$A$1:$I$89,5,0)</f>
        <v>-1.0995790944434703E-13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455.85294519779609</v>
      </c>
      <c r="BJ198" s="62">
        <f t="shared" si="206"/>
        <v>294.45557293177131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1.8248167712418039E-24</v>
      </c>
      <c r="BS198" s="24">
        <f t="shared" si="169"/>
        <v>1.8248167712418039E-24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5.6843418860808015E-14</v>
      </c>
      <c r="BZ198" s="14">
        <f>BY198*VLOOKUP('Données projet'!$B$12,Paramètres!$A$1:$I$89,3,0)*VLOOKUP('Données projet'!$B$12,Paramètres!$A$1:$I$89,5,0)</f>
        <v>4.9658410716801891E-14</v>
      </c>
      <c r="CA198" s="14">
        <f t="shared" si="170"/>
        <v>8.0934058173791862E-13</v>
      </c>
      <c r="CB198" s="22">
        <f t="shared" si="171"/>
        <v>1.4960899118586383E-12</v>
      </c>
      <c r="CC198" s="62">
        <f t="shared" si="195"/>
        <v>293.33333333333479</v>
      </c>
      <c r="CD198" s="62">
        <f ca="1">AVERAGE(OFFSET($CC$3,0,0,'Données projet'!$E$12+1,1))-AVERAGE(OFFSET($H$3,0,0,'Données projet'!$E$12+1,1))</f>
        <v>304.32767345253382</v>
      </c>
      <c r="CE198" s="62">
        <f t="shared" si="207"/>
        <v>427.16091343339173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-5.6843418860808015E-14</v>
      </c>
      <c r="CU198" s="18">
        <f>CT198*VLOOKUP('Données projet'!$B$13,Paramètres!$A$1:$I$89,3,0)*VLOOKUP('Données projet'!$B$13,Paramètres!$A$1:$I$89,5,0)</f>
        <v>-5.1431925385259088E-14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350.06545824795847</v>
      </c>
      <c r="CZ198" s="62">
        <f t="shared" si="208"/>
        <v>513.80016421153414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-1.1368683772161603E-13</v>
      </c>
      <c r="DP198" s="18">
        <f>DO198*VLOOKUP('Données projet'!$B$14,Paramètres!$A$1:$I$89,3,0)*VLOOKUP('Données projet'!$B$14,Paramètres!$A$1:$I$89,5,0)</f>
        <v>-9.0449248091317723E-14</v>
      </c>
      <c r="DQ198" s="14" t="e">
        <f t="shared" si="176"/>
        <v>#NUM!</v>
      </c>
      <c r="DR198" s="22" t="e">
        <f t="shared" si="177"/>
        <v>#NUM!</v>
      </c>
      <c r="DS198" s="62" t="e">
        <f t="shared" si="197"/>
        <v>#NUM!</v>
      </c>
      <c r="DT198" s="62">
        <f ca="1">AVERAGE(OFFSET($DS$3,0,0,'Données projet'!$E$14+1,1))-AVERAGE(OFFSET($H$3,0,0,'Données projet'!$E$14+1,1))</f>
        <v>382.14353215900121</v>
      </c>
      <c r="DU198" s="62">
        <f t="shared" si="209"/>
        <v>249.73945975250177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1.5010589569892266E-24</v>
      </c>
      <c r="ED198" s="24">
        <f t="shared" si="178"/>
        <v>1.5010589569892266E-24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-1.1368683772161603E-13</v>
      </c>
      <c r="O199" s="14">
        <f>N199*VLOOKUP('Données projet'!$B$9,Paramètres!$A$1:$I$89,3,0)*VLOOKUP('Données projet'!$B$9,Paramètres!$A$1:$I$89,5,0)</f>
        <v>-1.0286385077051818E-13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429.08375622925655</v>
      </c>
      <c r="T199" s="62">
        <f t="shared" si="204"/>
        <v>278.21741231699929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1.2070925512152446E-24</v>
      </c>
      <c r="AC199" s="24">
        <f t="shared" si="163"/>
        <v>1.2070925512152446E-24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-1.1368683772161603E-13</v>
      </c>
      <c r="AJ199" s="14">
        <f>AI199*VLOOKUP('Données projet'!$B$10,Paramètres!$A$1:$I$89,3,0)*VLOOKUP('Données projet'!$B$10,Paramètres!$A$1:$I$89,5,0)</f>
        <v>-1.0818439477588981E-13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449.16408464351673</v>
      </c>
      <c r="AO199" s="62">
        <f t="shared" si="205"/>
        <v>290.39826583283588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1.2695283728298269E-24</v>
      </c>
      <c r="AX199" s="23">
        <f t="shared" si="166"/>
        <v>1.2695283728298269E-24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-1.1368683772161603E-13</v>
      </c>
      <c r="BE199" s="14">
        <f>BD199*VLOOKUP('Données projet'!$B$11,Paramètres!$A$1:$I$89,3,0)*VLOOKUP('Données projet'!$B$11,Paramètres!$A$1:$I$89,5,0)</f>
        <v>-1.0995790944434703E-13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455.85294519779609</v>
      </c>
      <c r="BJ199" s="62">
        <f t="shared" si="206"/>
        <v>294.45557293177131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1.2903403133680204E-24</v>
      </c>
      <c r="BS199" s="24">
        <f t="shared" si="169"/>
        <v>1.2903403133680204E-24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5.6843418860808015E-14</v>
      </c>
      <c r="BZ199" s="14">
        <f>BY199*VLOOKUP('Données projet'!$B$12,Paramètres!$A$1:$I$89,3,0)*VLOOKUP('Données projet'!$B$12,Paramètres!$A$1:$I$89,5,0)</f>
        <v>4.9658410716801891E-14</v>
      </c>
      <c r="CA199" s="14">
        <f t="shared" si="170"/>
        <v>8.0934058173791862E-13</v>
      </c>
      <c r="CB199" s="22">
        <f t="shared" si="171"/>
        <v>1.4960899118586383E-12</v>
      </c>
      <c r="CC199" s="62">
        <f t="shared" si="195"/>
        <v>293.33333333333479</v>
      </c>
      <c r="CD199" s="62">
        <f ca="1">AVERAGE(OFFSET($CC$3,0,0,'Données projet'!$E$12+1,1))-AVERAGE(OFFSET($H$3,0,0,'Données projet'!$E$12+1,1))</f>
        <v>304.32767345253382</v>
      </c>
      <c r="CE199" s="62">
        <f t="shared" si="207"/>
        <v>427.16091343339173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-5.6843418860808015E-14</v>
      </c>
      <c r="CU199" s="18">
        <f>CT199*VLOOKUP('Données projet'!$B$13,Paramètres!$A$1:$I$89,3,0)*VLOOKUP('Données projet'!$B$13,Paramètres!$A$1:$I$89,5,0)</f>
        <v>-5.1431925385259088E-14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350.06545824795847</v>
      </c>
      <c r="CZ199" s="62">
        <f t="shared" si="208"/>
        <v>513.80016421153414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-1.1368683772161603E-13</v>
      </c>
      <c r="DP199" s="18">
        <f>DO199*VLOOKUP('Données projet'!$B$14,Paramètres!$A$1:$I$89,3,0)*VLOOKUP('Données projet'!$B$14,Paramètres!$A$1:$I$89,5,0)</f>
        <v>-9.0449248091317723E-14</v>
      </c>
      <c r="DQ199" s="14" t="e">
        <f t="shared" si="176"/>
        <v>#NUM!</v>
      </c>
      <c r="DR199" s="22" t="e">
        <f t="shared" si="177"/>
        <v>#NUM!</v>
      </c>
      <c r="DS199" s="62" t="e">
        <f t="shared" si="197"/>
        <v>#NUM!</v>
      </c>
      <c r="DT199" s="62">
        <f ca="1">AVERAGE(OFFSET($DS$3,0,0,'Données projet'!$E$14+1,1))-AVERAGE(OFFSET($H$3,0,0,'Données projet'!$E$14+1,1))</f>
        <v>382.14353215900121</v>
      </c>
      <c r="DU199" s="62">
        <f t="shared" si="209"/>
        <v>249.73945975250177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1.0614089674478883E-24</v>
      </c>
      <c r="ED199" s="24">
        <f t="shared" si="178"/>
        <v>1.0614089674478883E-24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-1.1368683772161603E-13</v>
      </c>
      <c r="O200" s="14">
        <f>N200*VLOOKUP('Données projet'!$B$9,Paramètres!$A$1:$I$89,3,0)*VLOOKUP('Données projet'!$B$9,Paramètres!$A$1:$I$89,5,0)</f>
        <v>-1.0286385077051818E-13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429.08375622925655</v>
      </c>
      <c r="T200" s="62">
        <f t="shared" si="204"/>
        <v>278.21741231699929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8.5354332848406933E-25</v>
      </c>
      <c r="AC200" s="24">
        <f t="shared" si="163"/>
        <v>8.5354332848406933E-25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-1.1368683772161603E-13</v>
      </c>
      <c r="AJ200" s="14">
        <f>AI200*VLOOKUP('Données projet'!$B$10,Paramètres!$A$1:$I$89,3,0)*VLOOKUP('Données projet'!$B$10,Paramètres!$A$1:$I$89,5,0)</f>
        <v>-1.0818439477588981E-13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449.16408464351673</v>
      </c>
      <c r="AO200" s="62">
        <f t="shared" si="205"/>
        <v>290.39826583283588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8.9769212133669413E-25</v>
      </c>
      <c r="AX200" s="23">
        <f t="shared" si="166"/>
        <v>8.9769212133669413E-25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-1.1368683772161603E-13</v>
      </c>
      <c r="BE200" s="14">
        <f>BD200*VLOOKUP('Données projet'!$B$11,Paramètres!$A$1:$I$89,3,0)*VLOOKUP('Données projet'!$B$11,Paramètres!$A$1:$I$89,5,0)</f>
        <v>-1.0995790944434703E-13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455.85294519779609</v>
      </c>
      <c r="BJ200" s="62">
        <f t="shared" si="206"/>
        <v>294.45557293177131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9.1240838562090196E-25</v>
      </c>
      <c r="BS200" s="24">
        <f t="shared" si="169"/>
        <v>9.1240838562090196E-25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5.6843418860808015E-14</v>
      </c>
      <c r="BZ200" s="14">
        <f>BY200*VLOOKUP('Données projet'!$B$12,Paramètres!$A$1:$I$89,3,0)*VLOOKUP('Données projet'!$B$12,Paramètres!$A$1:$I$89,5,0)</f>
        <v>4.9658410716801891E-14</v>
      </c>
      <c r="CA200" s="14">
        <f t="shared" si="170"/>
        <v>8.0934058173791862E-13</v>
      </c>
      <c r="CB200" s="22">
        <f t="shared" si="171"/>
        <v>1.4960899118586383E-12</v>
      </c>
      <c r="CC200" s="62">
        <f t="shared" si="195"/>
        <v>293.33333333333479</v>
      </c>
      <c r="CD200" s="62">
        <f ca="1">AVERAGE(OFFSET($CC$3,0,0,'Données projet'!$E$12+1,1))-AVERAGE(OFFSET($H$3,0,0,'Données projet'!$E$12+1,1))</f>
        <v>304.32767345253382</v>
      </c>
      <c r="CE200" s="62">
        <f t="shared" si="207"/>
        <v>427.16091343339173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-5.6843418860808015E-14</v>
      </c>
      <c r="CU200" s="18">
        <f>CT200*VLOOKUP('Données projet'!$B$13,Paramètres!$A$1:$I$89,3,0)*VLOOKUP('Données projet'!$B$13,Paramètres!$A$1:$I$89,5,0)</f>
        <v>-5.1431925385259088E-14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350.06545824795847</v>
      </c>
      <c r="CZ200" s="62">
        <f t="shared" si="208"/>
        <v>513.80016421153414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-1.1368683772161603E-13</v>
      </c>
      <c r="DP200" s="18">
        <f>DO200*VLOOKUP('Données projet'!$B$14,Paramètres!$A$1:$I$89,3,0)*VLOOKUP('Données projet'!$B$14,Paramètres!$A$1:$I$89,5,0)</f>
        <v>-9.0449248091317723E-14</v>
      </c>
      <c r="DQ200" s="14" t="e">
        <f t="shared" si="176"/>
        <v>#NUM!</v>
      </c>
      <c r="DR200" s="22" t="e">
        <f t="shared" si="177"/>
        <v>#NUM!</v>
      </c>
      <c r="DS200" s="62" t="e">
        <f t="shared" si="197"/>
        <v>#NUM!</v>
      </c>
      <c r="DT200" s="62">
        <f ca="1">AVERAGE(OFFSET($DS$3,0,0,'Données projet'!$E$14+1,1))-AVERAGE(OFFSET($H$3,0,0,'Données projet'!$E$14+1,1))</f>
        <v>382.14353215900121</v>
      </c>
      <c r="DU200" s="62">
        <f t="shared" si="209"/>
        <v>249.73945975250177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7.5052947849461329E-25</v>
      </c>
      <c r="ED200" s="24">
        <f t="shared" si="178"/>
        <v>7.5052947849461329E-25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-1.1368683772161603E-13</v>
      </c>
      <c r="O201" s="14">
        <f>N201*VLOOKUP('Données projet'!$B$9,Paramètres!$A$1:$I$89,3,0)*VLOOKUP('Données projet'!$B$9,Paramètres!$A$1:$I$89,5,0)</f>
        <v>-1.0286385077051818E-13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429.08375622925655</v>
      </c>
      <c r="T201" s="62">
        <f t="shared" si="204"/>
        <v>278.21741231699929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6.0354627560762229E-25</v>
      </c>
      <c r="AC201" s="24">
        <f t="shared" si="163"/>
        <v>6.0354627560762229E-25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-1.1368683772161603E-13</v>
      </c>
      <c r="AJ201" s="14">
        <f>AI201*VLOOKUP('Données projet'!$B$10,Paramètres!$A$1:$I$89,3,0)*VLOOKUP('Données projet'!$B$10,Paramètres!$A$1:$I$89,5,0)</f>
        <v>-1.0818439477588981E-13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449.16408464351673</v>
      </c>
      <c r="AO201" s="62">
        <f t="shared" si="205"/>
        <v>290.39826583283588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6.3476418641491345E-25</v>
      </c>
      <c r="AX201" s="23">
        <f t="shared" si="166"/>
        <v>6.3476418641491345E-25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-1.1368683772161603E-13</v>
      </c>
      <c r="BE201" s="14">
        <f>BD201*VLOOKUP('Données projet'!$B$11,Paramètres!$A$1:$I$89,3,0)*VLOOKUP('Données projet'!$B$11,Paramètres!$A$1:$I$89,5,0)</f>
        <v>-1.0995790944434703E-13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455.85294519779609</v>
      </c>
      <c r="BJ201" s="62">
        <f t="shared" si="206"/>
        <v>294.45557293177131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6.451701566840102E-25</v>
      </c>
      <c r="BS201" s="24">
        <f t="shared" si="169"/>
        <v>6.451701566840102E-25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5.6843418860808015E-14</v>
      </c>
      <c r="BZ201" s="14">
        <f>BY201*VLOOKUP('Données projet'!$B$12,Paramètres!$A$1:$I$89,3,0)*VLOOKUP('Données projet'!$B$12,Paramètres!$A$1:$I$89,5,0)</f>
        <v>4.9658410716801891E-14</v>
      </c>
      <c r="CA201" s="14">
        <f t="shared" si="170"/>
        <v>8.0934058173791862E-13</v>
      </c>
      <c r="CB201" s="22">
        <f t="shared" si="171"/>
        <v>1.4960899118586383E-12</v>
      </c>
      <c r="CC201" s="62">
        <f t="shared" si="195"/>
        <v>293.33333333333479</v>
      </c>
      <c r="CD201" s="62">
        <f ca="1">AVERAGE(OFFSET($CC$3,0,0,'Données projet'!$E$12+1,1))-AVERAGE(OFFSET($H$3,0,0,'Données projet'!$E$12+1,1))</f>
        <v>304.32767345253382</v>
      </c>
      <c r="CE201" s="62">
        <f t="shared" si="207"/>
        <v>427.16091343339173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-5.6843418860808015E-14</v>
      </c>
      <c r="CU201" s="18">
        <f>CT201*VLOOKUP('Données projet'!$B$13,Paramètres!$A$1:$I$89,3,0)*VLOOKUP('Données projet'!$B$13,Paramètres!$A$1:$I$89,5,0)</f>
        <v>-5.1431925385259088E-14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350.06545824795847</v>
      </c>
      <c r="CZ201" s="62">
        <f t="shared" si="208"/>
        <v>513.80016421153414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-1.1368683772161603E-13</v>
      </c>
      <c r="DP201" s="18">
        <f>DO201*VLOOKUP('Données projet'!$B$14,Paramètres!$A$1:$I$89,3,0)*VLOOKUP('Données projet'!$B$14,Paramètres!$A$1:$I$89,5,0)</f>
        <v>-9.0449248091317723E-14</v>
      </c>
      <c r="DQ201" s="14" t="e">
        <f t="shared" si="176"/>
        <v>#NUM!</v>
      </c>
      <c r="DR201" s="22" t="e">
        <f t="shared" si="177"/>
        <v>#NUM!</v>
      </c>
      <c r="DS201" s="62" t="e">
        <f t="shared" si="197"/>
        <v>#NUM!</v>
      </c>
      <c r="DT201" s="62">
        <f ca="1">AVERAGE(OFFSET($DS$3,0,0,'Données projet'!$E$14+1,1))-AVERAGE(OFFSET($H$3,0,0,'Données projet'!$E$14+1,1))</f>
        <v>382.14353215900121</v>
      </c>
      <c r="DU201" s="62">
        <f t="shared" si="209"/>
        <v>249.73945975250177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5.3070448372394414E-25</v>
      </c>
      <c r="ED201" s="24">
        <f t="shared" si="178"/>
        <v>5.3070448372394414E-25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-1.1368683772161603E-13</v>
      </c>
      <c r="O202" s="14">
        <f>N202*VLOOKUP('Données projet'!$B$9,Paramètres!$A$1:$I$89,3,0)*VLOOKUP('Données projet'!$B$9,Paramètres!$A$1:$I$89,5,0)</f>
        <v>-1.0286385077051818E-13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429.08375622925655</v>
      </c>
      <c r="T202" s="62">
        <f t="shared" si="204"/>
        <v>278.21741231699929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4.2677166424203467E-25</v>
      </c>
      <c r="AC202" s="24">
        <f t="shared" si="163"/>
        <v>4.2677166424203467E-25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-1.1368683772161603E-13</v>
      </c>
      <c r="AJ202" s="14">
        <f>AI202*VLOOKUP('Données projet'!$B$10,Paramètres!$A$1:$I$89,3,0)*VLOOKUP('Données projet'!$B$10,Paramètres!$A$1:$I$89,5,0)</f>
        <v>-1.0818439477588981E-13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449.16408464351673</v>
      </c>
      <c r="AO202" s="62">
        <f t="shared" si="205"/>
        <v>290.39826583283588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4.4884606066834706E-25</v>
      </c>
      <c r="AX202" s="23">
        <f t="shared" si="166"/>
        <v>4.4884606066834706E-25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-1.1368683772161603E-13</v>
      </c>
      <c r="BE202" s="14">
        <f>BD202*VLOOKUP('Données projet'!$B$11,Paramètres!$A$1:$I$89,3,0)*VLOOKUP('Données projet'!$B$11,Paramètres!$A$1:$I$89,5,0)</f>
        <v>-1.0995790944434703E-13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455.85294519779609</v>
      </c>
      <c r="BJ202" s="62">
        <f t="shared" si="206"/>
        <v>294.45557293177131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4.5620419281045098E-25</v>
      </c>
      <c r="BS202" s="24">
        <f t="shared" si="169"/>
        <v>4.5620419281045098E-25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5.6843418860808015E-14</v>
      </c>
      <c r="BZ202" s="14">
        <f>BY202*VLOOKUP('Données projet'!$B$12,Paramètres!$A$1:$I$89,3,0)*VLOOKUP('Données projet'!$B$12,Paramètres!$A$1:$I$89,5,0)</f>
        <v>4.9658410716801891E-14</v>
      </c>
      <c r="CA202" s="14">
        <f t="shared" si="170"/>
        <v>8.0934058173791862E-13</v>
      </c>
      <c r="CB202" s="22">
        <f t="shared" si="171"/>
        <v>1.4960899118586383E-12</v>
      </c>
      <c r="CC202" s="62">
        <f t="shared" si="195"/>
        <v>293.33333333333479</v>
      </c>
      <c r="CD202" s="62">
        <f ca="1">AVERAGE(OFFSET($CC$3,0,0,'Données projet'!$E$12+1,1))-AVERAGE(OFFSET($H$3,0,0,'Données projet'!$E$12+1,1))</f>
        <v>304.32767345253382</v>
      </c>
      <c r="CE202" s="62">
        <f t="shared" si="207"/>
        <v>427.16091343339173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-5.6843418860808015E-14</v>
      </c>
      <c r="CU202" s="18">
        <f>CT202*VLOOKUP('Données projet'!$B$13,Paramètres!$A$1:$I$89,3,0)*VLOOKUP('Données projet'!$B$13,Paramètres!$A$1:$I$89,5,0)</f>
        <v>-5.1431925385259088E-14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350.06545824795847</v>
      </c>
      <c r="CZ202" s="62">
        <f t="shared" si="208"/>
        <v>513.80016421153414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-1.1368683772161603E-13</v>
      </c>
      <c r="DP202" s="18">
        <f>DO202*VLOOKUP('Données projet'!$B$14,Paramètres!$A$1:$I$89,3,0)*VLOOKUP('Données projet'!$B$14,Paramètres!$A$1:$I$89,5,0)</f>
        <v>-9.0449248091317723E-14</v>
      </c>
      <c r="DQ202" s="14" t="e">
        <f t="shared" si="176"/>
        <v>#NUM!</v>
      </c>
      <c r="DR202" s="22" t="e">
        <f t="shared" si="177"/>
        <v>#NUM!</v>
      </c>
      <c r="DS202" s="62" t="e">
        <f t="shared" si="197"/>
        <v>#NUM!</v>
      </c>
      <c r="DT202" s="62">
        <f ca="1">AVERAGE(OFFSET($DS$3,0,0,'Données projet'!$E$14+1,1))-AVERAGE(OFFSET($H$3,0,0,'Données projet'!$E$14+1,1))</f>
        <v>382.14353215900121</v>
      </c>
      <c r="DU202" s="62">
        <f t="shared" si="209"/>
        <v>249.73945975250177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3.7526473924730665E-25</v>
      </c>
      <c r="ED202" s="24">
        <f t="shared" si="178"/>
        <v>3.7526473924730665E-25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-1.1368683772161603E-13</v>
      </c>
      <c r="O203" s="14">
        <f>N203*VLOOKUP('Données projet'!$B$9,Paramètres!$A$1:$I$89,3,0)*VLOOKUP('Données projet'!$B$9,Paramètres!$A$1:$I$89,5,0)</f>
        <v>-1.0286385077051818E-13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429.08375622925655</v>
      </c>
      <c r="T203" s="62">
        <f t="shared" si="204"/>
        <v>278.21741231699929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3.0177313780381115E-25</v>
      </c>
      <c r="AC203" s="24">
        <f t="shared" si="163"/>
        <v>3.0177313780381115E-25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-1.1368683772161603E-13</v>
      </c>
      <c r="AJ203" s="14">
        <f>AI203*VLOOKUP('Données projet'!$B$10,Paramètres!$A$1:$I$89,3,0)*VLOOKUP('Données projet'!$B$10,Paramètres!$A$1:$I$89,5,0)</f>
        <v>-1.0818439477588981E-13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449.16408464351673</v>
      </c>
      <c r="AO203" s="62">
        <f t="shared" si="205"/>
        <v>290.39826583283588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3.1738209320745673E-25</v>
      </c>
      <c r="AX203" s="23">
        <f t="shared" si="166"/>
        <v>3.1738209320745673E-25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-1.1368683772161603E-13</v>
      </c>
      <c r="BE203" s="14">
        <f>BD203*VLOOKUP('Données projet'!$B$11,Paramètres!$A$1:$I$89,3,0)*VLOOKUP('Données projet'!$B$11,Paramètres!$A$1:$I$89,5,0)</f>
        <v>-1.0995790944434703E-13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455.85294519779609</v>
      </c>
      <c r="BJ203" s="62">
        <f t="shared" si="206"/>
        <v>294.45557293177131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3.225850783420051E-25</v>
      </c>
      <c r="BS203" s="24">
        <f t="shared" si="169"/>
        <v>3.225850783420051E-25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5.6843418860808015E-14</v>
      </c>
      <c r="BZ203" s="14">
        <f>BY203*VLOOKUP('Données projet'!$B$12,Paramètres!$A$1:$I$89,3,0)*VLOOKUP('Données projet'!$B$12,Paramètres!$A$1:$I$89,5,0)</f>
        <v>4.9658410716801891E-14</v>
      </c>
      <c r="CA203" s="14">
        <f t="shared" si="170"/>
        <v>8.0934058173791862E-13</v>
      </c>
      <c r="CB203" s="22">
        <f t="shared" si="171"/>
        <v>1.4960899118586383E-12</v>
      </c>
      <c r="CC203" s="62">
        <f t="shared" si="195"/>
        <v>293.33333333333479</v>
      </c>
      <c r="CD203" s="62">
        <f ca="1">AVERAGE(OFFSET($CC$3,0,0,'Données projet'!$E$12+1,1))-AVERAGE(OFFSET($H$3,0,0,'Données projet'!$E$12+1,1))</f>
        <v>304.32767345253382</v>
      </c>
      <c r="CE203" s="62">
        <f t="shared" si="207"/>
        <v>427.16091343339173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-5.6843418860808015E-14</v>
      </c>
      <c r="CU203" s="18">
        <f>CT203*VLOOKUP('Données projet'!$B$13,Paramètres!$A$1:$I$89,3,0)*VLOOKUP('Données projet'!$B$13,Paramètres!$A$1:$I$89,5,0)</f>
        <v>-5.1431925385259088E-14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350.06545824795847</v>
      </c>
      <c r="CZ203" s="62">
        <f t="shared" si="208"/>
        <v>513.80016421153414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-1.1368683772161603E-13</v>
      </c>
      <c r="DP203" s="18">
        <f>DO203*VLOOKUP('Données projet'!$B$14,Paramètres!$A$1:$I$89,3,0)*VLOOKUP('Données projet'!$B$14,Paramètres!$A$1:$I$89,5,0)</f>
        <v>-9.0449248091317723E-14</v>
      </c>
      <c r="DQ203" s="14" t="e">
        <f t="shared" si="176"/>
        <v>#NUM!</v>
      </c>
      <c r="DR203" s="22" t="e">
        <f t="shared" si="177"/>
        <v>#NUM!</v>
      </c>
      <c r="DS203" s="62" t="e">
        <f t="shared" si="197"/>
        <v>#NUM!</v>
      </c>
      <c r="DT203" s="62">
        <f ca="1">AVERAGE(OFFSET($DS$3,0,0,'Données projet'!$E$14+1,1))-AVERAGE(OFFSET($H$3,0,0,'Données projet'!$E$14+1,1))</f>
        <v>382.14353215900121</v>
      </c>
      <c r="DU203" s="62">
        <f t="shared" si="209"/>
        <v>249.73945975250177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2.6535224186197207E-25</v>
      </c>
      <c r="ED203" s="24">
        <f t="shared" si="178"/>
        <v>2.6535224186197207E-25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1.2392705892426346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1.2392705892426346</v>
      </c>
      <c r="BA205" s="88">
        <f>EXP(LN('Données projet'!B88)/'Données projet'!A88)</f>
        <v>1.2392705892426346</v>
      </c>
      <c r="BV205" s="88">
        <f>EXP(LN('Données projet'!B114)/'Données projet'!A114)</f>
        <v>1.3655017210306359</v>
      </c>
      <c r="CQ205" s="88">
        <f>EXP(LN('Données projet'!B140)/'Données projet'!A140)</f>
        <v>1.4104897999888117</v>
      </c>
      <c r="DL205" s="88">
        <f>EXP(LN('Données projet'!B166)/'Données projet'!A166)</f>
        <v>1.2392705892426346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77734375" style="5" bestFit="1" customWidth="1"/>
    <col min="3" max="3" width="11.77734375" style="5" bestFit="1" customWidth="1"/>
    <col min="4" max="4" width="40" style="5" bestFit="1" customWidth="1"/>
    <col min="5" max="5" width="11.77734375" style="5" bestFit="1" customWidth="1"/>
    <col min="6" max="6" width="13.77734375" style="5" bestFit="1" customWidth="1"/>
    <col min="7" max="7" width="11.44140625" style="5" bestFit="1" customWidth="1"/>
    <col min="8" max="8" width="39" style="5" bestFit="1" customWidth="1"/>
    <col min="9" max="9" width="16.7773437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workbookViewId="0">
      <selection activeCell="M35" sqref="M35"/>
    </sheetView>
  </sheetViews>
  <sheetFormatPr baseColWidth="10" defaultColWidth="11.44140625" defaultRowHeight="14.4" x14ac:dyDescent="0.3"/>
  <cols>
    <col min="1" max="1" width="22.777343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Chêne sessile</v>
      </c>
      <c r="B6" s="155">
        <f>'Données projet'!D9</f>
        <v>2.34</v>
      </c>
      <c r="C6" s="156">
        <f ca="1">IF(OR('Données projet'!B9="",'Données projet'!C9="",'Données projet'!C9=0%),0,Calculateur!S3)</f>
        <v>429.08375622925655</v>
      </c>
      <c r="D6" s="156">
        <f>IF(OR('Données projet'!B9="",'Données projet'!C9="",'Données projet'!C9=0%),0,Calculateur!T3)</f>
        <v>278.21741231699929</v>
      </c>
      <c r="E6" s="156">
        <f ca="1">MIN(C6,D6)</f>
        <v>278.21741231699929</v>
      </c>
      <c r="F6" s="156">
        <f ca="1">E6*B6</f>
        <v>651.02874482177833</v>
      </c>
      <c r="G6" s="156">
        <f ca="1">F6*(100%-'Données projet'!$C$24)*(100%-'Données projet'!$C$25)*(100%-'Données projet'!$C$26)*(100%-'Données projet'!$C$27)</f>
        <v>585.92587033960046</v>
      </c>
      <c r="H6" s="157">
        <f>IF(OR('Données projet'!B9="",'Données projet'!C9="",'Données projet'!C9=0%),0,AVERAGE(Calculateur!$AC$3:$AC$33)*B6)</f>
        <v>3.4169174493101968</v>
      </c>
      <c r="I6" s="158">
        <f>H6*(100%-'Données projet'!$C$24)*(100%-'Données projet'!$C$25)*(100%-'Données projet'!$C$26)*(100%-'Données projet'!$C$27)</f>
        <v>3.0752257043791773</v>
      </c>
      <c r="J6" s="159">
        <f>IF(OR('Données projet'!B9="",'Données projet'!C9="",'Données projet'!C9=0%),0,SUM(Calculateur!$V$3:$V$33)*VLOOKUP('Données projet'!$B$9,Paramètres!$A$1:$I$89,9,0)*B6)</f>
        <v>36.269999999999996</v>
      </c>
      <c r="K6" s="160">
        <f>J6*(100%-'Données projet'!$C$24)*(100%-'Données projet'!$C$25)*(100%-'Données projet'!$C$26)*(100%-'Données projet'!$C$27)</f>
        <v>32.643000000000001</v>
      </c>
      <c r="L6" s="161">
        <f ca="1">G6+I6+K6</f>
        <v>621.64409604397963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Charme</v>
      </c>
      <c r="B7" s="163">
        <f>'Données projet'!D10</f>
        <v>0.66</v>
      </c>
      <c r="C7" s="156">
        <f ca="1">IF(OR('Données projet'!B10="",'Données projet'!C10="",'Données projet'!C10=0%),0,Calculateur!AN3)</f>
        <v>449.16408464351673</v>
      </c>
      <c r="D7" s="156">
        <f>IF(OR('Données projet'!B10="",'Données projet'!C10="",'Données projet'!C10=0%),0,Calculateur!AO3)</f>
        <v>290.39826583283588</v>
      </c>
      <c r="E7" s="156">
        <f t="shared" ref="E7:E15" ca="1" si="0">MIN(C7,D7)</f>
        <v>290.39826583283588</v>
      </c>
      <c r="F7" s="156">
        <f t="shared" ref="F7:F15" ca="1" si="1">E7*B7</f>
        <v>191.6628554496717</v>
      </c>
      <c r="G7" s="156">
        <f ca="1">F7*(100%-'Données projet'!$C$24)*(100%-'Données projet'!$C$25)*(100%-'Données projet'!$C$26)*(100%-'Données projet'!$C$27)</f>
        <v>172.49656990470453</v>
      </c>
      <c r="H7" s="164">
        <f>IF(OR('Données projet'!B10="",'Données projet'!C10="",'Données projet'!C10=0%),0,AVERAGE(Calculateur!$AX$3:$AX$33)*B7)</f>
        <v>1.0135948755469242</v>
      </c>
      <c r="I7" s="158">
        <f>H7*(100%-'Données projet'!$C$24)*(100%-'Données projet'!$C$25)*(100%-'Données projet'!$C$26)*(100%-'Données projet'!$C$27)</f>
        <v>0.91223538799223181</v>
      </c>
      <c r="J7" s="159">
        <f>IF(OR('Données projet'!B10="",'Données projet'!C10="",'Données projet'!C10=0%),0,SUM(Calculateur!$AQ$3:$AQ$33)*VLOOKUP('Données projet'!$B$10,Paramètres!$A$1:$I$89,9,0)*B7)</f>
        <v>10.23</v>
      </c>
      <c r="K7" s="160">
        <f>J7*(100%-'Données projet'!$C$24)*(100%-'Données projet'!$C$25)*(100%-'Données projet'!$C$26)*(100%-'Données projet'!$C$27)</f>
        <v>9.2070000000000007</v>
      </c>
      <c r="L7" s="161">
        <f t="shared" ref="L7:L15" ca="1" si="2">G7+I7+K7</f>
        <v>182.61580529269676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Alisier torminal</v>
      </c>
      <c r="B8" s="163">
        <f>'Données projet'!D11</f>
        <v>0.24</v>
      </c>
      <c r="C8" s="156">
        <f ca="1">IF(OR('Données projet'!B11="",'Données projet'!C11="",'Données projet'!C11=0%),0,Calculateur!BI3)</f>
        <v>455.85294519779609</v>
      </c>
      <c r="D8" s="156">
        <f>IF(OR('Données projet'!B11="",'Données projet'!C11="",'Données projet'!C11=0%),0,Calculateur!BJ3)</f>
        <v>294.45557293177131</v>
      </c>
      <c r="E8" s="156">
        <f t="shared" ca="1" si="0"/>
        <v>294.45557293177131</v>
      </c>
      <c r="F8" s="156">
        <f t="shared" ca="1" si="1"/>
        <v>70.669337503625115</v>
      </c>
      <c r="G8" s="156">
        <f ca="1">F8*(100%-'Données projet'!$C$24)*(100%-'Données projet'!$C$25)*(100%-'Données projet'!$C$26)*(100%-'Données projet'!$C$27)</f>
        <v>63.602403753262607</v>
      </c>
      <c r="H8" s="164">
        <f>IF(OR('Données projet'!B11="",'Données projet'!C11="",'Données projet'!C11=0%),0,AVERAGE(Calculateur!$BS$3:$BS$33)*B8)</f>
        <v>0.37462224908440711</v>
      </c>
      <c r="I8" s="158">
        <f>H8*(100%-'Données projet'!$C$24)*(100%-'Données projet'!$C$25)*(100%-'Données projet'!$C$26)*(100%-'Données projet'!$C$27)</f>
        <v>0.33716002417596641</v>
      </c>
      <c r="J8" s="159">
        <f>IF(OR('Données projet'!B11="",'Données projet'!C11="",'Données projet'!C11=0%),0,SUM(Calculateur!$BL$3:$BL$33)*VLOOKUP('Données projet'!$B$11,Paramètres!$A$1:$I$89,9,0)*B8)</f>
        <v>3.7199999999999998</v>
      </c>
      <c r="K8" s="160">
        <f>J8*(100%-'Données projet'!$C$24)*(100%-'Données projet'!$C$25)*(100%-'Données projet'!$C$26)*(100%-'Données projet'!$C$27)</f>
        <v>3.3479999999999999</v>
      </c>
      <c r="L8" s="161">
        <f t="shared" ca="1" si="2"/>
        <v>67.287563777438578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>Chêne rouge d'Amérique</v>
      </c>
      <c r="B9" s="163">
        <f>'Données projet'!D12</f>
        <v>0.78</v>
      </c>
      <c r="C9" s="156">
        <f ca="1">IF(OR('Données projet'!B12="",'Données projet'!C12="",'Données projet'!C12=0%),0,Calculateur!CD3)</f>
        <v>304.32767345253382</v>
      </c>
      <c r="D9" s="156">
        <f>IF(OR('Données projet'!B12="",'Données projet'!C12="",'Données projet'!C12=0%),0,Calculateur!CE3)</f>
        <v>427.16091343339173</v>
      </c>
      <c r="E9" s="156">
        <f t="shared" ca="1" si="0"/>
        <v>304.32767345253382</v>
      </c>
      <c r="F9" s="156">
        <f t="shared" ca="1" si="1"/>
        <v>237.37558529297638</v>
      </c>
      <c r="G9" s="156">
        <f ca="1">F9*(100%-'Données projet'!$C$24)*(100%-'Données projet'!$C$25)*(100%-'Données projet'!$C$26)*(100%-'Données projet'!$C$27)</f>
        <v>213.63802676367874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36.465000000000003</v>
      </c>
      <c r="K9" s="160">
        <f>J9*(100%-'Données projet'!$C$24)*(100%-'Données projet'!$C$25)*(100%-'Données projet'!$C$26)*(100%-'Données projet'!$C$27)</f>
        <v>32.818500000000007</v>
      </c>
      <c r="L9" s="161">
        <f t="shared" ca="1" si="2"/>
        <v>246.45652676367874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>Robinier faux-acacia</v>
      </c>
      <c r="B10" s="163">
        <f>'Données projet'!D13</f>
        <v>0.78</v>
      </c>
      <c r="C10" s="156">
        <f ca="1">IF(OR('Données projet'!B13="",'Données projet'!C13="",'Données projet'!C13=0%),0,Calculateur!CY3)</f>
        <v>350.06545824795847</v>
      </c>
      <c r="D10" s="156">
        <f>IF(OR('Données projet'!B13="",'Données projet'!C13="",'Données projet'!C13=0%),0,Calculateur!CZ3)</f>
        <v>513.80016421153414</v>
      </c>
      <c r="E10" s="156">
        <f t="shared" ca="1" si="0"/>
        <v>350.06545824795847</v>
      </c>
      <c r="F10" s="156">
        <f t="shared" ca="1" si="1"/>
        <v>273.05105743340761</v>
      </c>
      <c r="G10" s="156">
        <f ca="1">F10*(100%-'Données projet'!$C$24)*(100%-'Données projet'!$C$25)*(100%-'Données projet'!$C$26)*(100%-'Données projet'!$C$27)</f>
        <v>245.74595169006685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19.5</v>
      </c>
      <c r="K10" s="160">
        <f>J10*(100%-'Données projet'!$C$24)*(100%-'Données projet'!$C$25)*(100%-'Données projet'!$C$26)*(100%-'Données projet'!$C$27)</f>
        <v>17.55</v>
      </c>
      <c r="L10" s="161">
        <f t="shared" ca="1" si="2"/>
        <v>263.29595169006683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>Erable plane</v>
      </c>
      <c r="B11" s="163">
        <f>'Données projet'!D14</f>
        <v>0.78</v>
      </c>
      <c r="C11" s="156">
        <f ca="1">IF(OR('Données projet'!B14="",'Données projet'!C14="",'Données projet'!C14=0%),0,Calculateur!DT3)</f>
        <v>382.14353215900121</v>
      </c>
      <c r="D11" s="156">
        <f>IF(OR('Données projet'!B14="",'Données projet'!C14="",'Données projet'!C14=0%),0,Calculateur!DU3)</f>
        <v>249.73945975250177</v>
      </c>
      <c r="E11" s="156">
        <f t="shared" ca="1" si="0"/>
        <v>249.73945975250177</v>
      </c>
      <c r="F11" s="156">
        <f t="shared" ca="1" si="1"/>
        <v>194.79677860695139</v>
      </c>
      <c r="G11" s="156">
        <f ca="1">F11*(100%-'Données projet'!$C$24)*(100%-'Données projet'!$C$25)*(100%-'Données projet'!$C$26)*(100%-'Données projet'!$C$27)</f>
        <v>175.31710074625624</v>
      </c>
      <c r="H11" s="164">
        <f>IF(OR('Données projet'!B14="",'Données projet'!C14="",'Données projet'!C14=0%),0,AVERAGE(Calculateur!$ED$3:$ED$33)*B11)</f>
        <v>1.001510286866782</v>
      </c>
      <c r="I11" s="158">
        <f>H11*(100%-'Données projet'!$C$24)*(100%-'Données projet'!$C$25)*(100%-'Données projet'!$C$26)*(100%-'Données projet'!$C$27)</f>
        <v>0.90135925818010387</v>
      </c>
      <c r="J11" s="159">
        <f>IF(OR('Données projet'!B14="",'Données projet'!C14="",'Données projet'!C14=0%),0,SUM(Calculateur!$DW$3:$DW$33)*VLOOKUP('Données projet'!$B$14,Paramètres!$A$1:$I$89,9,0)*B11)</f>
        <v>12.09</v>
      </c>
      <c r="K11" s="160">
        <f>J11*(100%-'Données projet'!$C$24)*(100%-'Données projet'!$C$25)*(100%-'Données projet'!$C$26)*(100%-'Données projet'!$C$27)</f>
        <v>10.881</v>
      </c>
      <c r="L11" s="161">
        <f t="shared" ca="1" si="2"/>
        <v>187.09946000443634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1618.5843591084106</v>
      </c>
      <c r="G16" s="175">
        <f t="shared" ca="1" si="3"/>
        <v>1456.7259231975695</v>
      </c>
      <c r="H16" s="176">
        <f t="shared" si="3"/>
        <v>5.8066448608083103</v>
      </c>
      <c r="I16" s="176">
        <f t="shared" si="3"/>
        <v>5.2259803747274791</v>
      </c>
      <c r="J16" s="177">
        <f t="shared" si="3"/>
        <v>118.27500000000001</v>
      </c>
      <c r="K16" s="177">
        <f t="shared" si="3"/>
        <v>106.44750000000001</v>
      </c>
      <c r="L16" s="178">
        <f t="shared" ca="1" si="3"/>
        <v>1568.3994035722969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Charme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Alisier torminal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>Chêne rouge d'Amérique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>Robinier faux-acacia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>Erable plane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zoomScale="90" zoomScaleNormal="90" workbookViewId="0">
      <selection activeCell="I28" sqref="I28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21875" style="1" bestFit="1" customWidth="1"/>
    <col min="4" max="5" width="11.44140625" style="1"/>
    <col min="6" max="6" width="14" style="3" customWidth="1"/>
    <col min="7" max="7" width="17.5546875" style="3" customWidth="1"/>
    <col min="8" max="8" width="21.7773437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218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-2375.0907579635364</v>
      </c>
      <c r="U10" s="190">
        <f>'Données projet'!D9</f>
        <v>2.34</v>
      </c>
      <c r="V10" s="189">
        <f>U10*T10</f>
        <v>-5557.7123736346748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Charme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-567.05181332879397</v>
      </c>
      <c r="U11" s="190">
        <f>'Données projet'!D10</f>
        <v>0.66</v>
      </c>
      <c r="V11" s="189">
        <f t="shared" ref="V11" si="0">U11*T11</f>
        <v>-374.25419679700406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Alisier torminal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-2523.5334930062713</v>
      </c>
      <c r="U12" s="190">
        <f>'Données projet'!D11</f>
        <v>0.24</v>
      </c>
      <c r="V12" s="189">
        <f t="shared" ref="V12:V19" si="1">U12*T12</f>
        <v>-605.64803832150506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Chêne rouge d'Amérique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540.36661381749309</v>
      </c>
      <c r="U13" s="190">
        <f>'Données projet'!D12</f>
        <v>0.78</v>
      </c>
      <c r="V13" s="189">
        <f t="shared" si="1"/>
        <v>421.48595877764461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Robinier faux-acacia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1038.5111963735426</v>
      </c>
      <c r="U14" s="190">
        <f>'Données projet'!D13</f>
        <v>0.78</v>
      </c>
      <c r="V14" s="189">
        <f t="shared" si="1"/>
        <v>810.03873317136322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Erable plane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-597.25810839088604</v>
      </c>
      <c r="U15" s="190">
        <f>'Données projet'!D14</f>
        <v>0.78</v>
      </c>
      <c r="V15" s="189">
        <f t="shared" si="1"/>
        <v>-465.86132454489115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>
        <f>(3740/(0.39*6))+((5301*(0.39*6))/6)</f>
        <v>3665.680598290598</v>
      </c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1</v>
      </c>
      <c r="I20" s="204">
        <f>320+120+(200/6)+(582/(0.07*6))+(710.1/6)</f>
        <v>1977.3976190476187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>
        <f>(2450+2992.5+122.88)/6</f>
        <v>927.56333333333339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3</v>
      </c>
      <c r="I22" s="204">
        <f>5565.38/6</f>
        <v>927.56333333333339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20</v>
      </c>
      <c r="B23" s="193">
        <f>'Données projet'!D36</f>
        <v>6</v>
      </c>
      <c r="C23" s="206">
        <v>8</v>
      </c>
      <c r="D23" s="194">
        <f>B23*C23</f>
        <v>48</v>
      </c>
      <c r="E23" s="206"/>
      <c r="F23" s="261"/>
      <c r="H23" s="203">
        <v>4</v>
      </c>
      <c r="I23" s="204">
        <f>2572.88/6</f>
        <v>428.81333333333333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-33296.57068939411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25</v>
      </c>
      <c r="B24" s="193">
        <f>'Données projet'!D37</f>
        <v>28</v>
      </c>
      <c r="C24" s="206">
        <v>8</v>
      </c>
      <c r="D24" s="194">
        <f t="shared" ref="D24:D42" si="2">B24*C24</f>
        <v>224</v>
      </c>
      <c r="E24" s="206"/>
      <c r="F24" s="264"/>
      <c r="H24" s="203">
        <v>5</v>
      </c>
      <c r="I24" s="204">
        <f>2572.88/6</f>
        <v>428.81333333333333</v>
      </c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30222.427321178366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30</v>
      </c>
      <c r="B25" s="193">
        <f>'Données projet'!D38</f>
        <v>28</v>
      </c>
      <c r="C25" s="206">
        <v>10</v>
      </c>
      <c r="D25" s="194">
        <f t="shared" si="2"/>
        <v>280</v>
      </c>
      <c r="E25" s="206"/>
      <c r="F25" s="264"/>
      <c r="G25" s="1"/>
      <c r="H25" s="203">
        <v>6</v>
      </c>
      <c r="I25" s="204">
        <f>2572.88/6</f>
        <v>428.81333333333333</v>
      </c>
      <c r="K25" s="225"/>
      <c r="L25" s="271" t="s">
        <v>285</v>
      </c>
      <c r="M25" s="271"/>
      <c r="N25" s="271"/>
      <c r="O25" s="271"/>
      <c r="P25" s="205">
        <v>249.9</v>
      </c>
      <c r="Q25" s="265"/>
      <c r="R25" s="25"/>
      <c r="S25" s="198" t="s">
        <v>266</v>
      </c>
      <c r="T25" s="341">
        <f ca="1">T23-T24</f>
        <v>-63518.998010572475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35</v>
      </c>
      <c r="B26" s="193">
        <f>'Données projet'!D39</f>
        <v>28</v>
      </c>
      <c r="C26" s="206">
        <v>10</v>
      </c>
      <c r="D26" s="194">
        <f t="shared" si="2"/>
        <v>280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40</v>
      </c>
      <c r="B27" s="193">
        <f>'Données projet'!D40</f>
        <v>28</v>
      </c>
      <c r="C27" s="206">
        <v>12</v>
      </c>
      <c r="D27" s="194">
        <f t="shared" si="2"/>
        <v>336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45</v>
      </c>
      <c r="B28" s="193">
        <f>'Données projet'!D41</f>
        <v>28</v>
      </c>
      <c r="C28" s="206">
        <v>12</v>
      </c>
      <c r="D28" s="194">
        <f t="shared" si="2"/>
        <v>336</v>
      </c>
      <c r="E28" s="206"/>
      <c r="F28" s="264"/>
      <c r="G28" s="222"/>
      <c r="H28" s="203"/>
      <c r="I28" s="204"/>
      <c r="K28" s="225"/>
      <c r="L28" s="1" t="s">
        <v>324</v>
      </c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50</v>
      </c>
      <c r="B29" s="193">
        <f>'Données projet'!D42</f>
        <v>28</v>
      </c>
      <c r="C29" s="206">
        <v>15</v>
      </c>
      <c r="D29" s="194">
        <f t="shared" si="2"/>
        <v>420</v>
      </c>
      <c r="E29" s="206"/>
      <c r="F29" s="264"/>
      <c r="G29" s="218"/>
      <c r="H29" s="203"/>
      <c r="I29" s="204"/>
      <c r="K29" s="225"/>
      <c r="L29" s="1" t="s">
        <v>325</v>
      </c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55</v>
      </c>
      <c r="B30" s="193">
        <f>'Données projet'!D43</f>
        <v>28</v>
      </c>
      <c r="C30" s="206">
        <v>15</v>
      </c>
      <c r="D30" s="194">
        <f t="shared" si="2"/>
        <v>420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5037.0712201963943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60</v>
      </c>
      <c r="B31" s="193">
        <f>'Données projet'!D44</f>
        <v>28</v>
      </c>
      <c r="C31" s="206">
        <v>40</v>
      </c>
      <c r="D31" s="194">
        <f t="shared" si="2"/>
        <v>1120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65</v>
      </c>
      <c r="B32" s="193">
        <f>'Données projet'!D45</f>
        <v>28</v>
      </c>
      <c r="C32" s="206">
        <v>40</v>
      </c>
      <c r="D32" s="194">
        <f t="shared" si="2"/>
        <v>1120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70</v>
      </c>
      <c r="B33" s="193">
        <f>'Données projet'!D46</f>
        <v>28</v>
      </c>
      <c r="C33" s="206">
        <v>40</v>
      </c>
      <c r="D33" s="194">
        <f t="shared" si="2"/>
        <v>1120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249.9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75</v>
      </c>
      <c r="B34" s="193">
        <f>'Données projet'!D47</f>
        <v>28</v>
      </c>
      <c r="C34" s="206">
        <v>60</v>
      </c>
      <c r="D34" s="194">
        <f t="shared" si="2"/>
        <v>1680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239.13875598086128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80</v>
      </c>
      <c r="B35" s="193">
        <f>'Données projet'!D48</f>
        <v>28</v>
      </c>
      <c r="C35" s="206">
        <v>60</v>
      </c>
      <c r="D35" s="194">
        <f t="shared" si="2"/>
        <v>1680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228.84091481422132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85</v>
      </c>
      <c r="B36" s="193">
        <f>'Données projet'!D49</f>
        <v>28</v>
      </c>
      <c r="C36" s="206">
        <v>80</v>
      </c>
      <c r="D36" s="194">
        <f t="shared" si="2"/>
        <v>2240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218.98652135332185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90</v>
      </c>
      <c r="B37" s="193">
        <f>'Données projet'!D50</f>
        <v>28</v>
      </c>
      <c r="C37" s="206">
        <v>80</v>
      </c>
      <c r="D37" s="194">
        <f t="shared" si="2"/>
        <v>2240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209.5564797639444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95</v>
      </c>
      <c r="B38" s="193">
        <f>'Données projet'!D51</f>
        <v>28</v>
      </c>
      <c r="C38" s="206">
        <v>100</v>
      </c>
      <c r="D38" s="194">
        <f t="shared" si="2"/>
        <v>2800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200.53251652052097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100</v>
      </c>
      <c r="B39" s="193">
        <f>'Données projet'!D52</f>
        <v>27</v>
      </c>
      <c r="C39" s="206">
        <v>100</v>
      </c>
      <c r="D39" s="194">
        <f t="shared" si="2"/>
        <v>2700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191.89714499571389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105</v>
      </c>
      <c r="B40" s="193">
        <f>'Données projet'!D53</f>
        <v>26</v>
      </c>
      <c r="C40" s="206">
        <v>110</v>
      </c>
      <c r="D40" s="194">
        <f t="shared" si="2"/>
        <v>2860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183.63363157484582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110</v>
      </c>
      <c r="B41" s="193">
        <f>'Données projet'!D54</f>
        <v>332</v>
      </c>
      <c r="C41" s="206">
        <v>140</v>
      </c>
      <c r="D41" s="194">
        <f t="shared" si="2"/>
        <v>46480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175.72596322951759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168.15881648757664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160.91752773930781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153.98806482230412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Charme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147.35699982995615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141.0114830908671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134.93921826877238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>
        <f>(792/(0.11*6))+((5301*(0.11*6))/6)</f>
        <v>1783.1100000000001</v>
      </c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129.1284385347104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123.56788376527317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118.24677872274944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113.15481217487986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108.28211691376065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103.61925063517768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20</v>
      </c>
      <c r="B54" s="193">
        <f>'Données projet'!D62</f>
        <v>6</v>
      </c>
      <c r="C54" s="206">
        <v>8</v>
      </c>
      <c r="D54" s="191">
        <f>B54*C54</f>
        <v>48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99.157177641318341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25</v>
      </c>
      <c r="B55" s="193">
        <f>'Données projet'!D63</f>
        <v>28</v>
      </c>
      <c r="C55" s="206">
        <v>8</v>
      </c>
      <c r="D55" s="191">
        <f t="shared" ref="D55:D73" si="4">B55*C55</f>
        <v>224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94.887251331405153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30</v>
      </c>
      <c r="B56" s="193">
        <f>'Données projet'!D64</f>
        <v>28</v>
      </c>
      <c r="C56" s="206">
        <v>10</v>
      </c>
      <c r="D56" s="191">
        <f t="shared" si="4"/>
        <v>280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90.801197446320714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35</v>
      </c>
      <c r="B57" s="193">
        <f>'Données projet'!D65</f>
        <v>28</v>
      </c>
      <c r="C57" s="206">
        <v>10</v>
      </c>
      <c r="D57" s="191">
        <f t="shared" si="4"/>
        <v>280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86.891098034756681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40</v>
      </c>
      <c r="B58" s="193">
        <f>'Données projet'!D66</f>
        <v>28</v>
      </c>
      <c r="C58" s="206">
        <v>12</v>
      </c>
      <c r="D58" s="191">
        <f t="shared" si="4"/>
        <v>336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83.149376109815009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45</v>
      </c>
      <c r="B59" s="193">
        <f>'Données projet'!D67</f>
        <v>28</v>
      </c>
      <c r="C59" s="206">
        <v>12</v>
      </c>
      <c r="D59" s="191">
        <f t="shared" si="4"/>
        <v>336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79.568780966330181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50</v>
      </c>
      <c r="B60" s="193">
        <f>'Données projet'!D68</f>
        <v>28</v>
      </c>
      <c r="C60" s="206">
        <v>15</v>
      </c>
      <c r="D60" s="191">
        <f t="shared" si="4"/>
        <v>420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76.142374130459487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55</v>
      </c>
      <c r="B61" s="193">
        <f>'Données projet'!D69</f>
        <v>28</v>
      </c>
      <c r="C61" s="206">
        <v>15</v>
      </c>
      <c r="D61" s="191">
        <f t="shared" si="4"/>
        <v>420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72.863515914315329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60</v>
      </c>
      <c r="B62" s="193">
        <f>'Données projet'!D70</f>
        <v>28</v>
      </c>
      <c r="C62" s="206">
        <v>40</v>
      </c>
      <c r="D62" s="191">
        <f t="shared" si="4"/>
        <v>1120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69.725852549584033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65</v>
      </c>
      <c r="B63" s="193">
        <f>'Données projet'!D71</f>
        <v>28</v>
      </c>
      <c r="C63" s="206">
        <v>40</v>
      </c>
      <c r="D63" s="191">
        <f t="shared" si="4"/>
        <v>1120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66.723303875200045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70</v>
      </c>
      <c r="B64" s="193">
        <f>'Données projet'!D72</f>
        <v>28</v>
      </c>
      <c r="C64" s="206">
        <v>40</v>
      </c>
      <c r="D64" s="191">
        <f t="shared" si="4"/>
        <v>1120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63.850051555215344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75</v>
      </c>
      <c r="B65" s="193">
        <f>'Données projet'!D73</f>
        <v>28</v>
      </c>
      <c r="C65" s="206">
        <v>60</v>
      </c>
      <c r="D65" s="191">
        <f t="shared" si="4"/>
        <v>1680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61.10052780403386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80</v>
      </c>
      <c r="B66" s="193">
        <f>'Données projet'!D74</f>
        <v>28</v>
      </c>
      <c r="C66" s="206">
        <v>60</v>
      </c>
      <c r="D66" s="191">
        <f t="shared" si="4"/>
        <v>1680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58.469404597161599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85</v>
      </c>
      <c r="B67" s="193">
        <f>'Données projet'!D75</f>
        <v>28</v>
      </c>
      <c r="C67" s="206">
        <v>80</v>
      </c>
      <c r="D67" s="191">
        <f t="shared" si="4"/>
        <v>2240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55.951583346566125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90</v>
      </c>
      <c r="B68" s="193">
        <f>'Données projet'!D76</f>
        <v>28</v>
      </c>
      <c r="C68" s="206">
        <v>80</v>
      </c>
      <c r="D68" s="191">
        <f t="shared" si="4"/>
        <v>2240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53.54218502063744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95</v>
      </c>
      <c r="B69" s="193">
        <f>'Données projet'!D77</f>
        <v>28</v>
      </c>
      <c r="C69" s="206">
        <v>100</v>
      </c>
      <c r="D69" s="191">
        <f t="shared" si="4"/>
        <v>2800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51.236540689605221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100</v>
      </c>
      <c r="B70" s="193">
        <f>'Données projet'!D78</f>
        <v>27</v>
      </c>
      <c r="C70" s="206">
        <v>100</v>
      </c>
      <c r="D70" s="191">
        <f t="shared" si="4"/>
        <v>2700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49.03018247809112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105</v>
      </c>
      <c r="B71" s="193">
        <f>'Données projet'!D79</f>
        <v>26</v>
      </c>
      <c r="C71" s="206">
        <v>110</v>
      </c>
      <c r="D71" s="191">
        <f t="shared" si="4"/>
        <v>2860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46.918834907264234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110</v>
      </c>
      <c r="B72" s="193">
        <f>'Données projet'!D80</f>
        <v>332</v>
      </c>
      <c r="C72" s="206">
        <v>140</v>
      </c>
      <c r="D72" s="191">
        <f t="shared" si="4"/>
        <v>46480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44.898406609822239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42.964982401743775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41.114815695448598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39.344321239663735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Alisier torminal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37.650068171927018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36.028773370265093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34.477295091162766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>
        <f>(864.5/(0.04*6))+((5301*(0.04*6))/6)</f>
        <v>3814.1233333333334</v>
      </c>
      <c r="F79" s="262"/>
      <c r="G79" s="223"/>
      <c r="H79" s="203"/>
      <c r="I79" s="204"/>
      <c r="J79" s="5"/>
      <c r="K79" s="183"/>
      <c r="L79" s="5"/>
      <c r="M79" s="5"/>
      <c r="N79" s="5"/>
      <c r="O79" s="207" t="str">
        <f>IF(O78+1&lt;=MIN('Données projet'!$E$9:$E$18),O78+1,"STOP")</f>
        <v>STOP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20</v>
      </c>
      <c r="B85" s="193">
        <f>'Données projet'!D88</f>
        <v>6</v>
      </c>
      <c r="C85" s="206">
        <v>8</v>
      </c>
      <c r="D85" s="191">
        <f>B85*C85</f>
        <v>48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25</v>
      </c>
      <c r="B86" s="193">
        <f>'Données projet'!D89</f>
        <v>28</v>
      </c>
      <c r="C86" s="206">
        <v>8</v>
      </c>
      <c r="D86" s="191">
        <f t="shared" ref="D86:D104" si="6">B86*C86</f>
        <v>224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30</v>
      </c>
      <c r="B87" s="193">
        <f>'Données projet'!D90</f>
        <v>28</v>
      </c>
      <c r="C87" s="206">
        <v>10</v>
      </c>
      <c r="D87" s="191">
        <f t="shared" si="6"/>
        <v>280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35</v>
      </c>
      <c r="B88" s="193">
        <f>'Données projet'!D91</f>
        <v>28</v>
      </c>
      <c r="C88" s="206">
        <v>10</v>
      </c>
      <c r="D88" s="191">
        <f t="shared" si="6"/>
        <v>280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40</v>
      </c>
      <c r="B89" s="193">
        <f>'Données projet'!D92</f>
        <v>28</v>
      </c>
      <c r="C89" s="206">
        <v>12</v>
      </c>
      <c r="D89" s="191">
        <f t="shared" si="6"/>
        <v>336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45</v>
      </c>
      <c r="B90" s="193">
        <f>'Données projet'!D93</f>
        <v>28</v>
      </c>
      <c r="C90" s="206">
        <v>12</v>
      </c>
      <c r="D90" s="191">
        <f t="shared" si="6"/>
        <v>336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50</v>
      </c>
      <c r="B91" s="193">
        <f>'Données projet'!D94</f>
        <v>28</v>
      </c>
      <c r="C91" s="206">
        <v>15</v>
      </c>
      <c r="D91" s="191">
        <f t="shared" si="6"/>
        <v>420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55</v>
      </c>
      <c r="B92" s="193">
        <f>'Données projet'!D95</f>
        <v>28</v>
      </c>
      <c r="C92" s="206">
        <v>15</v>
      </c>
      <c r="D92" s="191">
        <f t="shared" si="6"/>
        <v>420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60</v>
      </c>
      <c r="B93" s="193">
        <f>'Données projet'!D96</f>
        <v>28</v>
      </c>
      <c r="C93" s="206">
        <v>40</v>
      </c>
      <c r="D93" s="191">
        <f t="shared" si="6"/>
        <v>1120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65</v>
      </c>
      <c r="B94" s="193">
        <f>'Données projet'!D97</f>
        <v>28</v>
      </c>
      <c r="C94" s="206">
        <v>40</v>
      </c>
      <c r="D94" s="191">
        <f t="shared" si="6"/>
        <v>1120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70</v>
      </c>
      <c r="B95" s="193">
        <f>'Données projet'!D98</f>
        <v>28</v>
      </c>
      <c r="C95" s="206">
        <v>40</v>
      </c>
      <c r="D95" s="191">
        <f t="shared" si="6"/>
        <v>1120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75</v>
      </c>
      <c r="B96" s="193">
        <f>'Données projet'!D99</f>
        <v>28</v>
      </c>
      <c r="C96" s="206">
        <v>60</v>
      </c>
      <c r="D96" s="191">
        <f t="shared" si="6"/>
        <v>1680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80</v>
      </c>
      <c r="B97" s="193">
        <f>'Données projet'!D100</f>
        <v>28</v>
      </c>
      <c r="C97" s="206">
        <v>60</v>
      </c>
      <c r="D97" s="191">
        <f t="shared" si="6"/>
        <v>1680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85</v>
      </c>
      <c r="B98" s="193">
        <f>'Données projet'!D101</f>
        <v>28</v>
      </c>
      <c r="C98" s="206">
        <v>80</v>
      </c>
      <c r="D98" s="191">
        <f t="shared" si="6"/>
        <v>2240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90</v>
      </c>
      <c r="B99" s="193">
        <f>'Données projet'!D102</f>
        <v>28</v>
      </c>
      <c r="C99" s="206">
        <v>80</v>
      </c>
      <c r="D99" s="191">
        <f t="shared" si="6"/>
        <v>2240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95</v>
      </c>
      <c r="B100" s="193">
        <f>'Données projet'!D103</f>
        <v>28</v>
      </c>
      <c r="C100" s="206">
        <v>100</v>
      </c>
      <c r="D100" s="191">
        <f t="shared" si="6"/>
        <v>2800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100</v>
      </c>
      <c r="B101" s="193">
        <f>'Données projet'!D104</f>
        <v>27</v>
      </c>
      <c r="C101" s="206">
        <v>100</v>
      </c>
      <c r="D101" s="191">
        <f t="shared" si="6"/>
        <v>2700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105</v>
      </c>
      <c r="B102" s="193">
        <f>'Données projet'!D105</f>
        <v>26</v>
      </c>
      <c r="C102" s="206">
        <v>110</v>
      </c>
      <c r="D102" s="191">
        <f t="shared" si="6"/>
        <v>2860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110</v>
      </c>
      <c r="B103" s="193">
        <f>'Données projet'!D106</f>
        <v>332</v>
      </c>
      <c r="C103" s="206">
        <v>140</v>
      </c>
      <c r="D103" s="191">
        <f t="shared" si="6"/>
        <v>46480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>Chêne rouge d'Amérique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>
        <f>(770/(0.13*6))+((5301*(0.13*6))/6)</f>
        <v>1676.3094871794872</v>
      </c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15</v>
      </c>
      <c r="B116" s="193">
        <f>'Données projet'!D114</f>
        <v>34</v>
      </c>
      <c r="C116" s="204">
        <v>8</v>
      </c>
      <c r="D116" s="191">
        <f>B116*C116</f>
        <v>272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20</v>
      </c>
      <c r="B117" s="193">
        <f>'Données projet'!D115</f>
        <v>50</v>
      </c>
      <c r="C117" s="204">
        <v>8</v>
      </c>
      <c r="D117" s="191">
        <f t="shared" ref="D117:D135" si="8">B117*C117</f>
        <v>400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25</v>
      </c>
      <c r="B118" s="193">
        <f>'Données projet'!D116</f>
        <v>52</v>
      </c>
      <c r="C118" s="204">
        <v>8</v>
      </c>
      <c r="D118" s="191">
        <f t="shared" si="8"/>
        <v>416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30</v>
      </c>
      <c r="B119" s="193">
        <f>'Données projet'!D117</f>
        <v>51</v>
      </c>
      <c r="C119" s="204">
        <v>12</v>
      </c>
      <c r="D119" s="191">
        <f t="shared" si="8"/>
        <v>612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35</v>
      </c>
      <c r="B120" s="193">
        <f>'Données projet'!D118</f>
        <v>49</v>
      </c>
      <c r="C120" s="204">
        <v>12</v>
      </c>
      <c r="D120" s="191">
        <f t="shared" si="8"/>
        <v>588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40</v>
      </c>
      <c r="B121" s="193">
        <f>'Données projet'!D119</f>
        <v>45</v>
      </c>
      <c r="C121" s="204">
        <v>30</v>
      </c>
      <c r="D121" s="191">
        <f t="shared" si="8"/>
        <v>1350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45</v>
      </c>
      <c r="B122" s="193">
        <f>'Données projet'!D120</f>
        <v>41</v>
      </c>
      <c r="C122" s="204">
        <v>30</v>
      </c>
      <c r="D122" s="191">
        <f t="shared" si="8"/>
        <v>1230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50</v>
      </c>
      <c r="B123" s="193">
        <f>'Données projet'!D121</f>
        <v>37</v>
      </c>
      <c r="C123" s="204">
        <v>40</v>
      </c>
      <c r="D123" s="191">
        <f t="shared" si="8"/>
        <v>1480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55</v>
      </c>
      <c r="B124" s="193">
        <f>'Données projet'!D122</f>
        <v>258</v>
      </c>
      <c r="C124" s="204">
        <v>40</v>
      </c>
      <c r="D124" s="191">
        <f t="shared" si="8"/>
        <v>10320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>Robinier faux-acacia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>
        <f>(616*(0.13*6))+((5301*(0.13*6))/6)</f>
        <v>1169.6100000000001</v>
      </c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15</v>
      </c>
      <c r="B147" s="187">
        <f>'Données projet'!D140</f>
        <v>57</v>
      </c>
      <c r="C147" s="204">
        <v>8</v>
      </c>
      <c r="D147" s="194">
        <f>B147*C147</f>
        <v>456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20</v>
      </c>
      <c r="B148" s="187">
        <f>'Données projet'!D141</f>
        <v>18</v>
      </c>
      <c r="C148" s="204">
        <v>8</v>
      </c>
      <c r="D148" s="194">
        <f t="shared" ref="D148:D166" si="10">B148*C148</f>
        <v>144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25</v>
      </c>
      <c r="B149" s="187">
        <f>'Données projet'!D142</f>
        <v>14</v>
      </c>
      <c r="C149" s="204">
        <v>15</v>
      </c>
      <c r="D149" s="194">
        <f t="shared" si="10"/>
        <v>210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30</v>
      </c>
      <c r="B150" s="187">
        <f>'Données projet'!D143</f>
        <v>11</v>
      </c>
      <c r="C150" s="204">
        <v>15</v>
      </c>
      <c r="D150" s="194">
        <f t="shared" si="10"/>
        <v>165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35</v>
      </c>
      <c r="B151" s="187">
        <f>'Données projet'!D144</f>
        <v>9</v>
      </c>
      <c r="C151" s="204">
        <v>15</v>
      </c>
      <c r="D151" s="194">
        <f t="shared" si="10"/>
        <v>135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40</v>
      </c>
      <c r="B152" s="187">
        <f>'Données projet'!D145</f>
        <v>7</v>
      </c>
      <c r="C152" s="204">
        <v>40</v>
      </c>
      <c r="D152" s="194">
        <f t="shared" si="10"/>
        <v>280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45</v>
      </c>
      <c r="B153" s="187">
        <f>'Données projet'!D146</f>
        <v>312</v>
      </c>
      <c r="C153" s="204">
        <v>40</v>
      </c>
      <c r="D153" s="194">
        <f t="shared" si="10"/>
        <v>12480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>Erable plane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>
        <f>(935/(0.13*6))+((5301*(0.13*6))/6)</f>
        <v>1887.8479487179488</v>
      </c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20</v>
      </c>
      <c r="B178" s="193">
        <f>'Données projet'!D166</f>
        <v>6</v>
      </c>
      <c r="C178" s="206">
        <v>8</v>
      </c>
      <c r="D178" s="191">
        <f>B178*C178</f>
        <v>48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25</v>
      </c>
      <c r="B179" s="193">
        <f>'Données projet'!D167</f>
        <v>28</v>
      </c>
      <c r="C179" s="206">
        <v>8</v>
      </c>
      <c r="D179" s="191">
        <f t="shared" ref="D179:D197" si="11">B179*C179</f>
        <v>224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30</v>
      </c>
      <c r="B180" s="193">
        <f>'Données projet'!D168</f>
        <v>28</v>
      </c>
      <c r="C180" s="206">
        <v>10</v>
      </c>
      <c r="D180" s="191">
        <f t="shared" si="11"/>
        <v>280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35</v>
      </c>
      <c r="B181" s="193">
        <f>'Données projet'!D169</f>
        <v>28</v>
      </c>
      <c r="C181" s="206">
        <v>10</v>
      </c>
      <c r="D181" s="191">
        <f t="shared" si="11"/>
        <v>280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40</v>
      </c>
      <c r="B182" s="193">
        <f>'Données projet'!D170</f>
        <v>28</v>
      </c>
      <c r="C182" s="206">
        <v>12</v>
      </c>
      <c r="D182" s="191">
        <f t="shared" si="11"/>
        <v>336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45</v>
      </c>
      <c r="B183" s="193">
        <f>'Données projet'!D171</f>
        <v>28</v>
      </c>
      <c r="C183" s="206">
        <v>12</v>
      </c>
      <c r="D183" s="191">
        <f t="shared" si="11"/>
        <v>336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50</v>
      </c>
      <c r="B184" s="193">
        <f>'Données projet'!D172</f>
        <v>28</v>
      </c>
      <c r="C184" s="206">
        <v>15</v>
      </c>
      <c r="D184" s="191">
        <f t="shared" si="11"/>
        <v>420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55</v>
      </c>
      <c r="B185" s="193">
        <f>'Données projet'!D173</f>
        <v>28</v>
      </c>
      <c r="C185" s="206">
        <v>15</v>
      </c>
      <c r="D185" s="191">
        <f t="shared" si="11"/>
        <v>420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60</v>
      </c>
      <c r="B186" s="193">
        <f>'Données projet'!D174</f>
        <v>28</v>
      </c>
      <c r="C186" s="206">
        <v>40</v>
      </c>
      <c r="D186" s="191">
        <f t="shared" si="11"/>
        <v>1120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65</v>
      </c>
      <c r="B187" s="193">
        <f>'Données projet'!D175</f>
        <v>28</v>
      </c>
      <c r="C187" s="206">
        <v>40</v>
      </c>
      <c r="D187" s="191">
        <f t="shared" si="11"/>
        <v>1120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70</v>
      </c>
      <c r="B188" s="193">
        <f>'Données projet'!D176</f>
        <v>28</v>
      </c>
      <c r="C188" s="206">
        <v>40</v>
      </c>
      <c r="D188" s="191">
        <f t="shared" si="11"/>
        <v>1120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75</v>
      </c>
      <c r="B189" s="193">
        <f>'Données projet'!D177</f>
        <v>28</v>
      </c>
      <c r="C189" s="206">
        <v>60</v>
      </c>
      <c r="D189" s="191">
        <f t="shared" si="11"/>
        <v>1680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80</v>
      </c>
      <c r="B190" s="193">
        <f>'Données projet'!D178</f>
        <v>28</v>
      </c>
      <c r="C190" s="206">
        <v>60</v>
      </c>
      <c r="D190" s="191">
        <f t="shared" si="11"/>
        <v>1680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85</v>
      </c>
      <c r="B191" s="193">
        <f>'Données projet'!D179</f>
        <v>28</v>
      </c>
      <c r="C191" s="206">
        <v>80</v>
      </c>
      <c r="D191" s="191">
        <f t="shared" si="11"/>
        <v>2240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90</v>
      </c>
      <c r="B192" s="193">
        <f>'Données projet'!D180</f>
        <v>28</v>
      </c>
      <c r="C192" s="206">
        <v>80</v>
      </c>
      <c r="D192" s="191">
        <f t="shared" si="11"/>
        <v>2240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95</v>
      </c>
      <c r="B193" s="193">
        <f>'Données projet'!D181</f>
        <v>28</v>
      </c>
      <c r="C193" s="206">
        <v>100</v>
      </c>
      <c r="D193" s="191">
        <f t="shared" si="11"/>
        <v>2800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100</v>
      </c>
      <c r="B194" s="193">
        <f>'Données projet'!D182</f>
        <v>27</v>
      </c>
      <c r="C194" s="206">
        <v>100</v>
      </c>
      <c r="D194" s="191">
        <f t="shared" si="11"/>
        <v>2700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105</v>
      </c>
      <c r="B195" s="193">
        <f>'Données projet'!D183</f>
        <v>26</v>
      </c>
      <c r="C195" s="206">
        <v>110</v>
      </c>
      <c r="D195" s="191">
        <f t="shared" si="11"/>
        <v>2860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110</v>
      </c>
      <c r="B196" s="193">
        <f>'Données projet'!D184</f>
        <v>332</v>
      </c>
      <c r="C196" s="206">
        <v>140</v>
      </c>
      <c r="D196" s="191">
        <f t="shared" si="11"/>
        <v>46480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Florence HEUSCHMIDT</cp:lastModifiedBy>
  <dcterms:created xsi:type="dcterms:W3CDTF">2021-02-01T08:22:39Z</dcterms:created>
  <dcterms:modified xsi:type="dcterms:W3CDTF">2022-04-12T08:05:48Z</dcterms:modified>
</cp:coreProperties>
</file>