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B:\2020-CNPF\1.CARBONE\1.Projets\Kiloutou\CNPF C+for n° 67 Bouvines (Kiloutou n° 1)\"/>
    </mc:Choice>
  </mc:AlternateContent>
  <bookViews>
    <workbookView xWindow="0" yWindow="0" windowWidth="28800" windowHeight="106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5" i="1" l="1"/>
  <c r="B184" i="1"/>
  <c r="B183" i="1"/>
  <c r="B182" i="1"/>
  <c r="B181" i="1"/>
  <c r="B179" i="1"/>
  <c r="B180" i="1"/>
  <c r="B178" i="1"/>
  <c r="B177" i="1"/>
  <c r="B176" i="1"/>
  <c r="B175" i="1"/>
  <c r="B174" i="1"/>
  <c r="B173" i="1"/>
  <c r="B171" i="1"/>
  <c r="D159" i="1"/>
  <c r="B159" i="1"/>
  <c r="B158" i="1"/>
  <c r="B157" i="1"/>
  <c r="B156" i="1"/>
  <c r="B155" i="1"/>
  <c r="B154" i="1"/>
  <c r="B147" i="1"/>
  <c r="D183" i="1" l="1"/>
  <c r="D181" i="1"/>
  <c r="D179" i="1"/>
  <c r="D177" i="1"/>
  <c r="D175" i="1"/>
  <c r="D173" i="1"/>
  <c r="D171" i="1"/>
  <c r="D169" i="1"/>
  <c r="D167" i="1"/>
  <c r="B172" i="1"/>
  <c r="B170" i="1"/>
  <c r="B169" i="1"/>
  <c r="B168" i="1"/>
  <c r="B167" i="1"/>
  <c r="B166" i="1"/>
  <c r="D158" i="1"/>
  <c r="D157" i="1"/>
  <c r="D155" i="1"/>
  <c r="D153" i="1"/>
  <c r="D151" i="1"/>
  <c r="D149" i="1"/>
  <c r="D147" i="1"/>
  <c r="D145" i="1"/>
  <c r="D143" i="1"/>
  <c r="D141" i="1"/>
  <c r="B153" i="1"/>
  <c r="B152" i="1"/>
  <c r="B151" i="1"/>
  <c r="B150" i="1"/>
  <c r="B149" i="1"/>
  <c r="B148" i="1"/>
  <c r="B146" i="1"/>
  <c r="B145" i="1"/>
  <c r="B144" i="1"/>
  <c r="B143" i="1"/>
  <c r="B142" i="1"/>
  <c r="B141" i="1"/>
  <c r="B140" i="1"/>
  <c r="D202" i="1" l="1"/>
  <c r="D185" i="1"/>
  <c r="D128" i="1" l="1"/>
  <c r="B128" i="1"/>
  <c r="D126" i="1"/>
  <c r="B126" i="1"/>
  <c r="D124" i="1"/>
  <c r="B124" i="1"/>
  <c r="D122" i="1"/>
  <c r="B122" i="1"/>
  <c r="D120" i="1"/>
  <c r="B120" i="1"/>
  <c r="D118" i="1"/>
  <c r="B118" i="1"/>
  <c r="D116" i="1"/>
  <c r="B116" i="1"/>
  <c r="D76" i="1"/>
  <c r="B76" i="1"/>
  <c r="D74" i="1"/>
  <c r="B74" i="1"/>
  <c r="D72" i="1"/>
  <c r="B72" i="1"/>
  <c r="B70" i="1"/>
  <c r="D68" i="1"/>
  <c r="B68" i="1"/>
  <c r="D66" i="1"/>
  <c r="B66" i="1"/>
  <c r="D64" i="1"/>
  <c r="B64" i="1"/>
  <c r="B63" i="1"/>
  <c r="D50" i="1"/>
  <c r="D96" i="1" l="1"/>
  <c r="B96" i="1"/>
  <c r="B94" i="1"/>
  <c r="D94" i="1"/>
  <c r="B92" i="1"/>
  <c r="D92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EA4" i="2"/>
  <c r="FR4" i="2"/>
  <c r="FQ4" i="2"/>
  <c r="BR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EW7" i="2"/>
  <c r="EB7" i="2"/>
  <c r="HI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A18" i="2"/>
  <c r="EW18" i="2"/>
  <c r="EV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HG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B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W22" i="2" l="1"/>
  <c r="EC22" i="2"/>
  <c r="HH22" i="2"/>
  <c r="EB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FS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HI28" i="2"/>
  <c r="EB28" i="2"/>
  <c r="EV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W33" i="2"/>
  <c r="HG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W38" i="2"/>
  <c r="EX38" i="2"/>
  <c r="HG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HG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EC46" i="2"/>
  <c r="HI46" i="2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C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EA59" i="2"/>
  <c r="HH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B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C64" i="2"/>
  <c r="EA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EC78" i="2"/>
  <c r="EV78" i="2"/>
  <c r="HI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G85" i="2"/>
  <c r="HH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EX87" i="2"/>
  <c r="EA87" i="2"/>
  <c r="EB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HI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V100" i="2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EC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HH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FS118" i="2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G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EB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FR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DI154" i="2"/>
  <c r="EA155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EX156" i="2"/>
  <c r="EB156" i="2"/>
  <c r="DH156" i="2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A157" i="2"/>
  <c r="EC157" i="2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ED158" i="2"/>
  <c r="HI159" i="2"/>
  <c r="EC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DG160" i="2" l="1"/>
  <c r="EY159" i="2"/>
  <c r="ED159" i="2"/>
  <c r="HH160" i="2"/>
  <c r="FS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ED160" i="2"/>
  <c r="AB161" i="2"/>
  <c r="E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Y161" i="2"/>
  <c r="EW162" i="2"/>
  <c r="EC162" i="2"/>
  <c r="DI161" i="2"/>
  <c r="HG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D162" i="2"/>
  <c r="EB163" i="2"/>
  <c r="EA163" i="2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DH164" i="2"/>
  <c r="FR164" i="2"/>
  <c r="DI163" i="2"/>
  <c r="EA164" i="2"/>
  <c r="EX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EC166" i="2"/>
  <c r="HG166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Y166" i="2"/>
  <c r="DG167" i="2"/>
  <c r="HI167" i="2"/>
  <c r="EC167" i="2"/>
  <c r="EA167" i="2"/>
  <c r="HH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W168" i="2" l="1"/>
  <c r="EB168" i="2"/>
  <c r="EC168" i="2"/>
  <c r="DI167" i="2"/>
  <c r="DG168" i="2"/>
  <c r="EV168" i="2"/>
  <c r="HI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X169" i="2"/>
  <c r="EB169" i="2"/>
  <c r="HH169" i="2"/>
  <c r="FS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HG172" i="2"/>
  <c r="EV172" i="2"/>
  <c r="EA172" i="2"/>
  <c r="HI172" i="2"/>
  <c r="EB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EA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C176" i="2"/>
  <c r="EB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EC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W178" i="2" l="1"/>
  <c r="ED177" i="2"/>
  <c r="HH178" i="2"/>
  <c r="EA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V179" i="2"/>
  <c r="EA179" i="2"/>
  <c r="EB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B185" i="2"/>
  <c r="ED184" i="2"/>
  <c r="HI185" i="2"/>
  <c r="EA185" i="2"/>
  <c r="EW185" i="2"/>
  <c r="HH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W186" i="2" l="1"/>
  <c r="EA186" i="2"/>
  <c r="EB186" i="2"/>
  <c r="ED185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C187" i="2"/>
  <c r="EB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Y188" i="2" l="1"/>
  <c r="EB189" i="2"/>
  <c r="EV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W190" i="2"/>
  <c r="EV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A192" i="2"/>
  <c r="EC192" i="2"/>
  <c r="EW192" i="2"/>
  <c r="HG192" i="2"/>
  <c r="HI192" i="2"/>
  <c r="EV192" i="2"/>
  <c r="EB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D192" i="2"/>
  <c r="DI192" i="2"/>
  <c r="EB193" i="2"/>
  <c r="HI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D194" i="2" l="1"/>
  <c r="EY194" i="2"/>
  <c r="EX195" i="2"/>
  <c r="DH195" i="2"/>
  <c r="HI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EY195" i="2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Y196" i="2" l="1"/>
  <c r="EA197" i="2"/>
  <c r="EW197" i="2"/>
  <c r="EC197" i="2"/>
  <c r="HH197" i="2"/>
  <c r="HG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V199" i="2"/>
  <c r="EB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EB201" i="2"/>
  <c r="EA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 l="1"/>
  <c r="EX202" i="2"/>
  <c r="ED201" i="2"/>
  <c r="EW202" i="2"/>
  <c r="FR202" i="2"/>
  <c r="HH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5" i="2" a="1"/>
  <c r="EI35" i="2" s="1"/>
  <c r="DN110" i="2" a="1"/>
  <c r="DN110" i="2" s="1"/>
  <c r="DN65" i="2" a="1"/>
  <c r="DN65" i="2" s="1"/>
  <c r="DN6" i="2" a="1"/>
  <c r="DN6" i="2" s="1"/>
  <c r="DO6" i="2" s="1"/>
  <c r="BX107" i="2" a="1"/>
  <c r="BX107" i="2" s="1"/>
  <c r="FD82" i="2" a="1"/>
  <c r="FD82" i="2" s="1"/>
  <c r="HJ202" i="2"/>
  <c r="AX200" i="2"/>
  <c r="CS134" i="2" l="1" a="1"/>
  <c r="CS134" i="2" s="1"/>
  <c r="EY202" i="2"/>
  <c r="EI16" i="2" a="1"/>
  <c r="EI16" i="2" s="1"/>
  <c r="EI109" i="2" a="1"/>
  <c r="EI109" i="2" s="1"/>
  <c r="EI37" i="2" a="1"/>
  <c r="EI37" i="2" s="1"/>
  <c r="EI67" i="2" a="1"/>
  <c r="EI67" i="2" s="1"/>
  <c r="EI150" i="2" a="1"/>
  <c r="EI150" i="2" s="1"/>
  <c r="EI106" i="2" a="1"/>
  <c r="EI106" i="2" s="1"/>
  <c r="EI34" i="2" a="1"/>
  <c r="EI34" i="2" s="1"/>
  <c r="EI128" i="2" a="1"/>
  <c r="EI128" i="2" s="1"/>
  <c r="EI71" i="2" a="1"/>
  <c r="EI71" i="2" s="1"/>
  <c r="EI139" i="2" a="1"/>
  <c r="EI139" i="2" s="1"/>
  <c r="EI165" i="2" a="1"/>
  <c r="EI165" i="2" s="1"/>
  <c r="EI29" i="2" a="1"/>
  <c r="EI29" i="2" s="1"/>
  <c r="EI170" i="2" a="1"/>
  <c r="EI170" i="2" s="1"/>
  <c r="EI57" i="2" a="1"/>
  <c r="EI57" i="2" s="1"/>
  <c r="EI195" i="2" a="1"/>
  <c r="EI195" i="2" s="1"/>
  <c r="EI153" i="2" a="1"/>
  <c r="EI153" i="2" s="1"/>
  <c r="EI36" i="2" a="1"/>
  <c r="EI36" i="2" s="1"/>
  <c r="EI142" i="2" a="1"/>
  <c r="EI142" i="2" s="1"/>
  <c r="EI166" i="2" a="1"/>
  <c r="EI166" i="2" s="1"/>
  <c r="EI113" i="2" a="1"/>
  <c r="EI113" i="2" s="1"/>
  <c r="EI87" i="2" a="1"/>
  <c r="EI87" i="2" s="1"/>
  <c r="EI178" i="2" a="1"/>
  <c r="EI178" i="2" s="1"/>
  <c r="EI198" i="2" a="1"/>
  <c r="EI198" i="2" s="1"/>
  <c r="EI145" i="2" a="1"/>
  <c r="EI145" i="2" s="1"/>
  <c r="EI20" i="2" a="1"/>
  <c r="EI20" i="2" s="1"/>
  <c r="EI38" i="2" a="1"/>
  <c r="EI38" i="2" s="1"/>
  <c r="EI162" i="2" a="1"/>
  <c r="EI162" i="2" s="1"/>
  <c r="DN86" i="2" a="1"/>
  <c r="DN86" i="2" s="1"/>
  <c r="DN114" i="2" a="1"/>
  <c r="DN114" i="2" s="1"/>
  <c r="DN38" i="2" a="1"/>
  <c r="DN38" i="2" s="1"/>
  <c r="DN187" i="2" a="1"/>
  <c r="DN187" i="2" s="1"/>
  <c r="DN124" i="2" a="1"/>
  <c r="DN124" i="2" s="1"/>
  <c r="DN25" i="2" a="1"/>
  <c r="DN25" i="2" s="1"/>
  <c r="DN46" i="2" a="1"/>
  <c r="DN46" i="2" s="1"/>
  <c r="DN192" i="2" a="1"/>
  <c r="DN192" i="2" s="1"/>
  <c r="DN132" i="2" a="1"/>
  <c r="DN132" i="2" s="1"/>
  <c r="DN70" i="2" a="1"/>
  <c r="DN70" i="2" s="1"/>
  <c r="DN164" i="2" a="1"/>
  <c r="DN164" i="2" s="1"/>
  <c r="DN66" i="2" a="1"/>
  <c r="DN66" i="2" s="1"/>
  <c r="DN50" i="2" a="1"/>
  <c r="DN50" i="2" s="1"/>
  <c r="DN186" i="2" a="1"/>
  <c r="DN186" i="2" s="1"/>
  <c r="DN30" i="2" a="1"/>
  <c r="DN30" i="2" s="1"/>
  <c r="DN55" i="2" a="1"/>
  <c r="DN55" i="2" s="1"/>
  <c r="DN135" i="2" a="1"/>
  <c r="DN135" i="2" s="1"/>
  <c r="DN188" i="2" a="1"/>
  <c r="DN188" i="2" s="1"/>
  <c r="DN113" i="2" a="1"/>
  <c r="DN113" i="2" s="1"/>
  <c r="DN137" i="2" a="1"/>
  <c r="DN137" i="2" s="1"/>
  <c r="DN177" i="2" a="1"/>
  <c r="DN177" i="2" s="1"/>
  <c r="DN155" i="2" a="1"/>
  <c r="DN155" i="2" s="1"/>
  <c r="DN56" i="2" a="1"/>
  <c r="DN56" i="2" s="1"/>
  <c r="DN103" i="2" a="1"/>
  <c r="DN103" i="2" s="1"/>
  <c r="DN176" i="2" a="1"/>
  <c r="DN176" i="2" s="1"/>
  <c r="DN168" i="2" a="1"/>
  <c r="DN168" i="2" s="1"/>
  <c r="DN63" i="2" a="1"/>
  <c r="DN63" i="2" s="1"/>
  <c r="DN123" i="2" a="1"/>
  <c r="DN123" i="2" s="1"/>
  <c r="DN115" i="2" a="1"/>
  <c r="DN115" i="2" s="1"/>
  <c r="DN152" i="2" a="1"/>
  <c r="DN152" i="2" s="1"/>
  <c r="DN80" i="2" a="1"/>
  <c r="DN80" i="2" s="1"/>
  <c r="DN184" i="2" a="1"/>
  <c r="DN184" i="2" s="1"/>
  <c r="DN167" i="2" a="1"/>
  <c r="DN167" i="2" s="1"/>
  <c r="DN190" i="2" a="1"/>
  <c r="DN190" i="2" s="1"/>
  <c r="DN16" i="2" a="1"/>
  <c r="DN16" i="2" s="1"/>
  <c r="DN153" i="2" a="1"/>
  <c r="DN153" i="2" s="1"/>
  <c r="DN29" i="2" a="1"/>
  <c r="DN29" i="2" s="1"/>
  <c r="DN31" i="2" a="1"/>
  <c r="DN31" i="2" s="1"/>
  <c r="DN45" i="2" a="1"/>
  <c r="DN45" i="2" s="1"/>
  <c r="DN133" i="2" a="1"/>
  <c r="DN133" i="2" s="1"/>
  <c r="DN162" i="2" a="1"/>
  <c r="DN162" i="2" s="1"/>
  <c r="DN150" i="2" a="1"/>
  <c r="DN150" i="2" s="1"/>
  <c r="DN170" i="2" a="1"/>
  <c r="DN170" i="2" s="1"/>
  <c r="DN41" i="2" a="1"/>
  <c r="DN41" i="2" s="1"/>
  <c r="DN49" i="2" a="1"/>
  <c r="DN49" i="2" s="1"/>
  <c r="DN129" i="2" a="1"/>
  <c r="DN129" i="2" s="1"/>
  <c r="DN43" i="2" a="1"/>
  <c r="DN43" i="2" s="1"/>
  <c r="CS72" i="2" a="1"/>
  <c r="CS72" i="2" s="1"/>
  <c r="CS137" i="2" a="1"/>
  <c r="CS137" i="2" s="1"/>
  <c r="CS56" i="2" a="1"/>
  <c r="CS56" i="2" s="1"/>
  <c r="CS129" i="2" a="1"/>
  <c r="CS129" i="2" s="1"/>
  <c r="CS52" i="2" a="1"/>
  <c r="CS52" i="2" s="1"/>
  <c r="CS24" i="2" a="1"/>
  <c r="CS24" i="2" s="1"/>
  <c r="CS116" i="2" a="1"/>
  <c r="CS116" i="2" s="1"/>
  <c r="CS77" i="2" a="1"/>
  <c r="CS77" i="2" s="1"/>
  <c r="CS38" i="2" a="1"/>
  <c r="CS38" i="2" s="1"/>
  <c r="CS105" i="2" a="1"/>
  <c r="CS105" i="2" s="1"/>
  <c r="CS161" i="2" a="1"/>
  <c r="CS161" i="2" s="1"/>
  <c r="CS185" i="2" a="1"/>
  <c r="CS185" i="2" s="1"/>
  <c r="CS120" i="2" a="1"/>
  <c r="CS120" i="2" s="1"/>
  <c r="CS66" i="2" a="1"/>
  <c r="CS66" i="2" s="1"/>
  <c r="CS114" i="2" a="1"/>
  <c r="CS114" i="2" s="1"/>
  <c r="HG203" i="2"/>
  <c r="FR203" i="2"/>
  <c r="BC34" i="2" a="1"/>
  <c r="BC34" i="2" s="1"/>
  <c r="BC38" i="2" a="1"/>
  <c r="BC38" i="2" s="1"/>
  <c r="BC31" i="2" a="1"/>
  <c r="BC31" i="2" s="1"/>
  <c r="BC32" i="2" a="1"/>
  <c r="BC32" i="2" s="1"/>
  <c r="BC83" i="2" a="1"/>
  <c r="BC83" i="2" s="1"/>
  <c r="BC164" i="2" a="1"/>
  <c r="BC164" i="2" s="1"/>
  <c r="BC181" i="2" a="1"/>
  <c r="BC181" i="2" s="1"/>
  <c r="BC114" i="2" a="1"/>
  <c r="BC114" i="2" s="1"/>
  <c r="BC126" i="2" a="1"/>
  <c r="BC126" i="2" s="1"/>
  <c r="BC18" i="2" a="1"/>
  <c r="BC18" i="2" s="1"/>
  <c r="BC84" i="2" a="1"/>
  <c r="BC84" i="2" s="1"/>
  <c r="BC65" i="2" a="1"/>
  <c r="BC65" i="2" s="1"/>
  <c r="BC151" i="2" a="1"/>
  <c r="BC151" i="2" s="1"/>
  <c r="BC192" i="2" a="1"/>
  <c r="BC192" i="2" s="1"/>
  <c r="BC82" i="2" a="1"/>
  <c r="BC82" i="2" s="1"/>
  <c r="BC55" i="2" a="1"/>
  <c r="BC55" i="2" s="1"/>
  <c r="BC47" i="2" a="1"/>
  <c r="BC47" i="2" s="1"/>
  <c r="BC7" i="2" a="1"/>
  <c r="BC7" i="2" s="1"/>
  <c r="BD7" i="2" s="1"/>
  <c r="BC185" i="2" a="1"/>
  <c r="BC185" i="2" s="1"/>
  <c r="BC130" i="2" a="1"/>
  <c r="BC130" i="2" s="1"/>
  <c r="BC68" i="2" a="1"/>
  <c r="BC68" i="2" s="1"/>
  <c r="BC143" i="2" a="1"/>
  <c r="BC143" i="2" s="1"/>
  <c r="BC117" i="2" a="1"/>
  <c r="BC117" i="2" s="1"/>
  <c r="BC58" i="2" a="1"/>
  <c r="BC58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Y203" i="2"/>
  <c r="ED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Y80" i="2" l="1"/>
  <c r="CY24" i="2"/>
  <c r="CY185" i="2"/>
  <c r="CY195" i="2"/>
  <c r="CY172" i="2"/>
  <c r="CY159" i="2"/>
  <c r="CY193" i="2"/>
  <c r="CY19" i="2"/>
  <c r="CY37" i="2"/>
  <c r="CY89" i="2"/>
  <c r="CY62" i="2"/>
  <c r="CY135" i="2"/>
  <c r="CY33" i="2"/>
  <c r="CY136" i="2"/>
  <c r="CY101" i="2"/>
  <c r="CY153" i="2"/>
  <c r="CY120" i="2"/>
  <c r="CY128" i="2"/>
  <c r="CY114" i="2"/>
  <c r="CY36" i="2"/>
  <c r="CY63" i="2"/>
  <c r="CY66" i="2"/>
  <c r="CY78" i="2"/>
  <c r="CY75" i="2"/>
  <c r="CY132" i="2"/>
  <c r="CY58" i="2"/>
  <c r="CY166" i="2"/>
  <c r="CY44" i="2"/>
  <c r="CY54" i="2"/>
  <c r="CY86" i="2"/>
  <c r="CY103" i="2"/>
  <c r="CY70" i="2"/>
  <c r="CY42" i="2"/>
  <c r="CY180" i="2"/>
  <c r="CY108" i="2"/>
  <c r="CY25" i="2"/>
  <c r="CY13" i="2"/>
  <c r="CY12" i="2"/>
  <c r="CY8" i="2"/>
  <c r="CY96" i="2"/>
  <c r="CY109" i="2"/>
  <c r="CY81" i="2"/>
  <c r="CY179" i="2"/>
  <c r="CY26" i="2"/>
  <c r="CY28" i="2"/>
  <c r="CY176" i="2"/>
  <c r="CY17" i="2"/>
  <c r="CY65" i="2"/>
  <c r="CY164" i="2"/>
  <c r="CY38" i="2"/>
  <c r="CY53" i="2"/>
  <c r="CY45" i="2"/>
  <c r="CY48" i="2"/>
  <c r="CY57" i="2"/>
  <c r="CY188" i="2"/>
  <c r="CY112" i="2"/>
  <c r="CY99" i="2"/>
  <c r="CY186" i="2"/>
  <c r="CY55" i="2"/>
  <c r="CY169" i="2"/>
  <c r="CY106" i="2"/>
  <c r="CY133" i="2"/>
  <c r="CY151" i="2"/>
  <c r="CY93" i="2"/>
  <c r="CY145" i="2"/>
  <c r="CY6" i="2"/>
  <c r="CY82" i="2"/>
  <c r="CY149" i="2"/>
  <c r="CY79" i="2"/>
  <c r="CY88" i="2"/>
  <c r="CY192" i="2"/>
  <c r="CY76" i="2"/>
  <c r="CY107" i="2"/>
  <c r="CY113" i="2"/>
  <c r="CY137" i="2"/>
  <c r="CY124" i="2"/>
  <c r="CY150" i="2"/>
  <c r="CY41" i="2"/>
  <c r="CY23" i="2"/>
  <c r="CY7" i="2"/>
  <c r="CY181" i="2"/>
  <c r="CY111" i="2"/>
  <c r="CY144" i="2"/>
  <c r="CY14" i="2"/>
  <c r="CY68" i="2"/>
  <c r="CY125" i="2"/>
  <c r="CY191" i="2"/>
  <c r="CY143" i="2"/>
  <c r="CY183" i="2"/>
  <c r="CY157" i="2"/>
  <c r="CY131" i="2"/>
  <c r="CY102" i="2"/>
  <c r="CY95" i="2"/>
  <c r="CY155" i="2"/>
  <c r="CY98" i="2"/>
  <c r="CY27" i="2"/>
  <c r="CY160" i="2"/>
  <c r="CY50" i="2"/>
  <c r="CY100" i="2"/>
  <c r="CY129" i="2"/>
  <c r="CY198" i="2"/>
  <c r="CY32" i="2"/>
  <c r="CY139" i="2"/>
  <c r="CY84" i="2"/>
  <c r="CY69" i="2"/>
  <c r="CY51" i="2"/>
  <c r="CY47" i="2"/>
  <c r="CY115" i="2"/>
  <c r="CY201" i="2"/>
  <c r="CY189" i="2"/>
  <c r="CY203" i="2"/>
  <c r="CY59" i="2"/>
  <c r="CY73" i="2"/>
  <c r="CY170" i="2"/>
  <c r="CY46" i="2"/>
  <c r="CY52" i="2"/>
  <c r="CY10" i="2"/>
  <c r="CY77" i="2"/>
  <c r="CY196" i="2"/>
  <c r="CY3" i="2"/>
  <c r="C10" i="4" s="1"/>
  <c r="E10" i="4" s="1"/>
  <c r="F10" i="4" s="1"/>
  <c r="G10" i="4" s="1"/>
  <c r="L10" i="4" s="1"/>
  <c r="CY104" i="2"/>
  <c r="CY141" i="2"/>
  <c r="CY60" i="2"/>
  <c r="CY156" i="2"/>
  <c r="CY121" i="2"/>
  <c r="CY49" i="2"/>
  <c r="CY5" i="2"/>
  <c r="CY158" i="2"/>
  <c r="CY74" i="2"/>
  <c r="CY34" i="2"/>
  <c r="CY91" i="2"/>
  <c r="CY22" i="2"/>
  <c r="CY31" i="2"/>
  <c r="CY117" i="2"/>
  <c r="CY197" i="2"/>
  <c r="CY165" i="2"/>
  <c r="CY18" i="2"/>
  <c r="CY122" i="2"/>
  <c r="CY35" i="2"/>
  <c r="CY162" i="2"/>
  <c r="CY152" i="2"/>
  <c r="CY167" i="2"/>
  <c r="CY72" i="2"/>
  <c r="CY182" i="2"/>
  <c r="CY97" i="2"/>
  <c r="CY71" i="2"/>
  <c r="CY174" i="2"/>
  <c r="CY64" i="2"/>
  <c r="CY123" i="2"/>
  <c r="CY127" i="2"/>
  <c r="CY43" i="2"/>
  <c r="CY110" i="2"/>
  <c r="CY202" i="2"/>
  <c r="CY21" i="2"/>
  <c r="CY184" i="2"/>
  <c r="CY20" i="2"/>
  <c r="CY147" i="2"/>
  <c r="CY92" i="2"/>
  <c r="CY126" i="2"/>
  <c r="CY39" i="2"/>
  <c r="CY87" i="2"/>
  <c r="CY142" i="2"/>
  <c r="CY56" i="2"/>
  <c r="CY61" i="2"/>
  <c r="CY40" i="2"/>
  <c r="CY67" i="2"/>
  <c r="CY187" i="2"/>
  <c r="CY118" i="2"/>
  <c r="CY177" i="2"/>
  <c r="CY146" i="2"/>
  <c r="CY4" i="2"/>
  <c r="CY194" i="2"/>
  <c r="CY15" i="2"/>
  <c r="CY154" i="2"/>
  <c r="CY138" i="2"/>
  <c r="CY94" i="2"/>
  <c r="CY140" i="2"/>
  <c r="CY134" i="2"/>
  <c r="CY16" i="2"/>
  <c r="CY130" i="2"/>
  <c r="CY190" i="2"/>
  <c r="CY161" i="2"/>
  <c r="CY29" i="2"/>
  <c r="CY199" i="2"/>
  <c r="CY173" i="2"/>
  <c r="CY105" i="2"/>
  <c r="CY90" i="2"/>
  <c r="CY168" i="2"/>
  <c r="CY178" i="2"/>
  <c r="CY85" i="2"/>
  <c r="CY30" i="2"/>
  <c r="CY119" i="2"/>
  <c r="CY200" i="2"/>
  <c r="CY175" i="2"/>
  <c r="CY116" i="2"/>
  <c r="CY163" i="2"/>
  <c r="CY171" i="2"/>
  <c r="CY9" i="2"/>
  <c r="CY11" i="2"/>
  <c r="CY148" i="2"/>
  <c r="CY8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I178" i="2" s="1"/>
  <c r="BE109" i="2"/>
  <c r="BS107" i="2"/>
  <c r="BI108" i="2" l="1"/>
  <c r="BI57" i="2"/>
  <c r="BI153" i="2"/>
  <c r="BI200" i="2"/>
  <c r="BI27" i="2"/>
  <c r="BI89" i="2"/>
  <c r="BI99" i="2"/>
  <c r="BI158" i="2"/>
  <c r="BI191" i="2"/>
  <c r="BI176" i="2"/>
  <c r="BI43" i="2"/>
  <c r="BI126" i="2"/>
  <c r="BI106" i="2"/>
  <c r="BI141" i="2"/>
  <c r="BI175" i="2"/>
  <c r="BI151" i="2"/>
  <c r="BI168" i="2"/>
  <c r="BI143" i="2"/>
  <c r="BI12" i="2"/>
  <c r="BI36" i="2"/>
  <c r="BI171" i="2"/>
  <c r="BI56" i="2"/>
  <c r="BI75" i="2"/>
  <c r="BI79" i="2"/>
  <c r="BI96" i="2"/>
  <c r="BI74" i="2"/>
  <c r="BI44" i="2"/>
  <c r="BI73" i="2"/>
  <c r="BI139" i="2"/>
  <c r="BI62" i="2"/>
  <c r="BI189" i="2"/>
  <c r="BI182" i="2"/>
  <c r="BI121" i="2"/>
  <c r="BI162" i="2"/>
  <c r="BI183" i="2"/>
  <c r="BI180" i="2"/>
  <c r="BI163" i="2"/>
  <c r="BI112" i="2"/>
  <c r="BI136" i="2"/>
  <c r="BI110" i="2"/>
  <c r="BI38" i="2"/>
  <c r="BI10" i="2"/>
  <c r="BI128" i="2"/>
  <c r="BI49" i="2"/>
  <c r="BI41" i="2"/>
  <c r="BI80" i="2"/>
  <c r="BI145" i="2"/>
  <c r="BI164" i="2"/>
  <c r="BI53" i="2"/>
  <c r="BI55" i="2"/>
  <c r="BI35" i="2"/>
  <c r="BI54" i="2"/>
  <c r="BI93" i="2"/>
  <c r="BI193" i="2"/>
  <c r="BI167" i="2"/>
  <c r="BI185" i="2"/>
  <c r="BI196" i="2"/>
  <c r="BI173" i="2"/>
  <c r="BI61" i="2"/>
  <c r="BI98" i="2"/>
  <c r="BI63" i="2"/>
  <c r="BI115" i="2"/>
  <c r="BI101" i="2"/>
  <c r="BI32" i="2"/>
  <c r="BI19" i="2"/>
  <c r="BI169" i="2"/>
  <c r="BI131" i="2"/>
  <c r="BI84" i="2"/>
  <c r="BI116" i="2"/>
  <c r="BI104" i="2"/>
  <c r="BI102" i="2"/>
  <c r="BI160" i="2"/>
  <c r="BI39" i="2"/>
  <c r="BI7" i="2"/>
  <c r="BI22" i="2"/>
  <c r="BI181" i="2"/>
  <c r="BI184" i="2"/>
  <c r="BI11" i="2"/>
  <c r="BI152" i="2"/>
  <c r="BI9" i="2"/>
  <c r="BI70" i="2"/>
  <c r="BI42" i="2"/>
  <c r="BI138" i="2"/>
  <c r="BI15" i="2"/>
  <c r="BI125" i="2"/>
  <c r="BI190" i="2"/>
  <c r="BI46" i="2"/>
  <c r="BI71" i="2"/>
  <c r="BI13" i="2"/>
  <c r="BI52" i="2"/>
  <c r="BI59" i="2"/>
  <c r="BI37" i="2"/>
  <c r="BI67" i="2"/>
  <c r="BI34" i="2"/>
  <c r="BI83" i="2"/>
  <c r="BI45" i="2"/>
  <c r="BI147" i="2"/>
  <c r="BI186" i="2"/>
  <c r="BI4" i="2"/>
  <c r="BI40" i="2"/>
  <c r="BI118" i="2"/>
  <c r="BI202" i="2"/>
  <c r="BI21" i="2"/>
  <c r="BI132" i="2"/>
  <c r="BI76" i="2"/>
  <c r="BI123" i="2"/>
  <c r="BI51" i="2"/>
  <c r="BI172" i="2"/>
  <c r="BI149" i="2"/>
  <c r="BI198" i="2"/>
  <c r="BI72" i="2"/>
  <c r="BI28" i="2"/>
  <c r="BI127" i="2"/>
  <c r="BI156" i="2"/>
  <c r="BI129" i="2"/>
  <c r="BI157" i="2"/>
  <c r="BI8" i="2"/>
  <c r="BI109" i="2"/>
  <c r="BI107" i="2"/>
  <c r="BI92" i="2"/>
  <c r="BI161" i="2"/>
  <c r="BI33" i="2"/>
  <c r="BI50" i="2"/>
  <c r="BI177" i="2"/>
  <c r="BI47" i="2"/>
  <c r="BI111" i="2"/>
  <c r="BI140" i="2"/>
  <c r="BI154" i="2"/>
  <c r="BI90" i="2"/>
  <c r="BI6" i="2"/>
  <c r="BI134" i="2"/>
  <c r="BI31" i="2"/>
  <c r="BI192" i="2"/>
  <c r="BI137" i="2"/>
  <c r="BI113" i="2"/>
  <c r="BI68" i="2"/>
  <c r="BI199" i="2"/>
  <c r="BI159" i="2"/>
  <c r="BI24" i="2"/>
  <c r="BI60" i="2"/>
  <c r="BI174" i="2"/>
  <c r="BI148" i="2"/>
  <c r="BI14" i="2"/>
  <c r="BI146" i="2"/>
  <c r="BI94" i="2"/>
  <c r="BI114" i="2"/>
  <c r="BI105" i="2"/>
  <c r="BI130" i="2"/>
  <c r="BI187" i="2"/>
  <c r="BI97" i="2"/>
  <c r="BI5" i="2"/>
  <c r="BI135" i="2"/>
  <c r="BI77" i="2"/>
  <c r="BI166" i="2"/>
  <c r="BI194" i="2"/>
  <c r="BI65" i="2"/>
  <c r="BI23" i="2"/>
  <c r="BI78" i="2"/>
  <c r="BI88" i="2"/>
  <c r="BI195" i="2"/>
  <c r="BI117" i="2"/>
  <c r="BI85" i="2"/>
  <c r="BI69" i="2"/>
  <c r="BI26" i="2"/>
  <c r="BI155" i="2"/>
  <c r="BI203" i="2"/>
  <c r="BI100" i="2"/>
  <c r="BI81" i="2"/>
  <c r="BI124" i="2"/>
  <c r="BI170" i="2"/>
  <c r="BI197" i="2"/>
  <c r="BI188" i="2"/>
  <c r="BI119" i="2"/>
  <c r="BI48" i="2"/>
  <c r="BI142" i="2"/>
  <c r="BI95" i="2"/>
  <c r="BI144" i="2"/>
  <c r="BI150" i="2"/>
  <c r="BI64" i="2"/>
  <c r="BI122" i="2"/>
  <c r="BI16" i="2"/>
  <c r="BI86" i="2"/>
  <c r="BI201" i="2"/>
  <c r="BI91" i="2"/>
  <c r="BI103" i="2"/>
  <c r="BI133" i="2"/>
  <c r="BI3" i="2"/>
  <c r="C8" i="4" s="1"/>
  <c r="E8" i="4" s="1"/>
  <c r="F8" i="4" s="1"/>
  <c r="G8" i="4" s="1"/>
  <c r="L8" i="4" s="1"/>
  <c r="BI87" i="2"/>
  <c r="BI179" i="2"/>
  <c r="BI30" i="2"/>
  <c r="BI82" i="2"/>
  <c r="BI18" i="2"/>
  <c r="BI29" i="2"/>
  <c r="BI25" i="2"/>
  <c r="BI120" i="2"/>
  <c r="BI20" i="2"/>
  <c r="BI165" i="2"/>
  <c r="BI17" i="2"/>
  <c r="BI58" i="2"/>
  <c r="BI66" i="2"/>
  <c r="FE197" i="2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<sst xmlns="http://schemas.openxmlformats.org/spreadsheetml/2006/main" count="1167" uniqueCount="324">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</sst>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2.3558198404409247</c:v>
                </c:pt>
                <c:pt idx="2">
                  <c:v>2.5280062002997341</c:v>
                </c:pt>
                <c:pt idx="3">
                  <c:v>2.7128202129223458</c:v>
                </c:pt>
                <c:pt idx="4">
                  <c:v>2.9111909143601333</c:v>
                </c:pt>
                <c:pt idx="5">
                  <c:v>3.1241158963615412</c:v>
                </c:pt>
                <c:pt idx="6">
                  <c:v>3.3526663794145928</c:v>
                </c:pt>
                <c:pt idx="7">
                  <c:v>3.5979926621636094</c:v>
                </c:pt>
                <c:pt idx="8">
                  <c:v>3.8613299751906442</c:v>
                </c:pt>
                <c:pt idx="9">
                  <c:v>4.1440047692383599</c:v>
                </c:pt>
                <c:pt idx="10">
                  <c:v>4.4474414701931027</c:v>
                </c:pt>
                <c:pt idx="11">
                  <c:v>4.7731697355563476</c:v>
                </c:pt>
                <c:pt idx="12">
                  <c:v>5.1228322497222019</c:v>
                </c:pt>
                <c:pt idx="13">
                  <c:v>5.4981930981615363</c:v>
                </c:pt>
                <c:pt idx="14">
                  <c:v>5.9011467636042241</c:v>
                </c:pt>
                <c:pt idx="15">
                  <c:v>6.333727790525292</c:v>
                </c:pt>
                <c:pt idx="16">
                  <c:v>10.712654230579998</c:v>
                </c:pt>
                <c:pt idx="17">
                  <c:v>15.035436191157146</c:v>
                </c:pt>
                <c:pt idx="18">
                  <c:v>19.320961318334884</c:v>
                </c:pt>
                <c:pt idx="19">
                  <c:v>23.578782929008209</c:v>
                </c:pt>
                <c:pt idx="20">
                  <c:v>27.814657128560018</c:v>
                </c:pt>
                <c:pt idx="21">
                  <c:v>32.032421116321153</c:v>
                </c:pt>
                <c:pt idx="22">
                  <c:v>51.647109078738964</c:v>
                </c:pt>
                <c:pt idx="23">
                  <c:v>71.060821810548774</c:v>
                </c:pt>
                <c:pt idx="24">
                  <c:v>90.337363448897307</c:v>
                </c:pt>
                <c:pt idx="25">
                  <c:v>109.51040959893373</c:v>
                </c:pt>
                <c:pt idx="26">
                  <c:v>128.6007226213413</c:v>
                </c:pt>
                <c:pt idx="27">
                  <c:v>147.62234714684953</c:v>
                </c:pt>
                <c:pt idx="28">
                  <c:v>148.24496805506811</c:v>
                </c:pt>
                <c:pt idx="29">
                  <c:v>171.24037882872651</c:v>
                </c:pt>
                <c:pt idx="30">
                  <c:v>194.16304064471555</c:v>
                </c:pt>
                <c:pt idx="31">
                  <c:v>196.32800949959145</c:v>
                </c:pt>
                <c:pt idx="32">
                  <c:v>222.57460194352402</c:v>
                </c:pt>
                <c:pt idx="33">
                  <c:v>248.75016451475827</c:v>
                </c:pt>
                <c:pt idx="34">
                  <c:v>274.86322161173609</c:v>
                </c:pt>
                <c:pt idx="35">
                  <c:v>300.92054389894366</c:v>
                </c:pt>
                <c:pt idx="36">
                  <c:v>326.9276331083118</c:v>
                </c:pt>
                <c:pt idx="37">
                  <c:v>244.44339805963327</c:v>
                </c:pt>
                <c:pt idx="38">
                  <c:v>272.40799274231136</c:v>
                </c:pt>
                <c:pt idx="39">
                  <c:v>300.30802702917384</c:v>
                </c:pt>
                <c:pt idx="40">
                  <c:v>328.1503383149593</c:v>
                </c:pt>
                <c:pt idx="41">
                  <c:v>355.94050870298332</c:v>
                </c:pt>
                <c:pt idx="42">
                  <c:v>383.6831775834537</c:v>
                </c:pt>
                <c:pt idx="43">
                  <c:v>304.2888920593129</c:v>
                </c:pt>
                <c:pt idx="44">
                  <c:v>333.04015745702907</c:v>
                </c:pt>
                <c:pt idx="45">
                  <c:v>361.73671774155088</c:v>
                </c:pt>
                <c:pt idx="46">
                  <c:v>390.38351842752627</c:v>
                </c:pt>
                <c:pt idx="47">
                  <c:v>418.98472026564724</c:v>
                </c:pt>
                <c:pt idx="48">
                  <c:v>447.5438699506708</c:v>
                </c:pt>
                <c:pt idx="49">
                  <c:v>360.82166278303589</c:v>
                </c:pt>
                <c:pt idx="50">
                  <c:v>389.16546165993583</c:v>
                </c:pt>
                <c:pt idx="51">
                  <c:v>417.46446772037785</c:v>
                </c:pt>
                <c:pt idx="52">
                  <c:v>445.72214076928805</c:v>
                </c:pt>
                <c:pt idx="53">
                  <c:v>473.94146647365955</c:v>
                </c:pt>
                <c:pt idx="54">
                  <c:v>502.125046274314</c:v>
                </c:pt>
                <c:pt idx="55">
                  <c:v>412.59885500930062</c:v>
                </c:pt>
                <c:pt idx="56">
                  <c:v>439.6485541302448</c:v>
                </c:pt>
                <c:pt idx="57">
                  <c:v>466.66258036748872</c:v>
                </c:pt>
                <c:pt idx="58">
                  <c:v>493.64328668822759</c:v>
                </c:pt>
                <c:pt idx="59">
                  <c:v>520.59274811782768</c:v>
                </c:pt>
                <c:pt idx="60">
                  <c:v>547.51280754879247</c:v>
                </c:pt>
                <c:pt idx="61">
                  <c:v>461.70751193736891</c:v>
                </c:pt>
                <c:pt idx="62">
                  <c:v>486.77483940109096</c:v>
                </c:pt>
                <c:pt idx="63">
                  <c:v>511.81477745903248</c:v>
                </c:pt>
                <c:pt idx="64">
                  <c:v>536.82885307947356</c:v>
                </c:pt>
                <c:pt idx="65">
                  <c:v>561.81843946972958</c:v>
                </c:pt>
                <c:pt idx="66">
                  <c:v>586.78477784679262</c:v>
                </c:pt>
                <c:pt idx="67">
                  <c:v>611.72899531220708</c:v>
                </c:pt>
                <c:pt idx="68">
                  <c:v>636.65211966178947</c:v>
                </c:pt>
                <c:pt idx="69">
                  <c:v>661.55509175751888</c:v>
                </c:pt>
                <c:pt idx="70">
                  <c:v>532.19103450300565</c:v>
                </c:pt>
                <c:pt idx="71">
                  <c:v>554.96881965653654</c:v>
                </c:pt>
                <c:pt idx="72">
                  <c:v>577.72702726054183</c:v>
                </c:pt>
                <c:pt idx="73">
                  <c:v>600.46653622697943</c:v>
                </c:pt>
                <c:pt idx="74">
                  <c:v>623.18815354114236</c:v>
                </c:pt>
                <c:pt idx="75">
                  <c:v>645.89262260822341</c:v>
                </c:pt>
                <c:pt idx="76">
                  <c:v>668.58063036620888</c:v>
                </c:pt>
                <c:pt idx="77">
                  <c:v>691.25281338392233</c:v>
                </c:pt>
                <c:pt idx="78">
                  <c:v>713.90976311819611</c:v>
                </c:pt>
                <c:pt idx="79">
                  <c:v>665.16841660226919</c:v>
                </c:pt>
                <c:pt idx="80">
                  <c:v>686.8399721021666</c:v>
                </c:pt>
                <c:pt idx="81">
                  <c:v>708.49751068429669</c:v>
                </c:pt>
                <c:pt idx="82">
                  <c:v>730.14152063681968</c:v>
                </c:pt>
                <c:pt idx="83">
                  <c:v>751.77245897300372</c:v>
                </c:pt>
                <c:pt idx="84">
                  <c:v>773.39075429462139</c:v>
                </c:pt>
                <c:pt idx="85">
                  <c:v>794.09679639066474</c:v>
                </c:pt>
                <c:pt idx="86">
                  <c:v>814.79193114229065</c:v>
                </c:pt>
                <c:pt idx="87">
                  <c:v>835.47647425032699</c:v>
                </c:pt>
                <c:pt idx="88">
                  <c:v>856.15072452917377</c:v>
                </c:pt>
                <c:pt idx="89">
                  <c:v>876.81496520415214</c:v>
                </c:pt>
                <c:pt idx="90">
                  <c:v>897.46946508035228</c:v>
                </c:pt>
                <c:pt idx="91">
                  <c:v>917.81534306490391</c:v>
                </c:pt>
                <c:pt idx="92">
                  <c:v>938.15224136386041</c:v>
                </c:pt>
                <c:pt idx="93">
                  <c:v>958.48038177822752</c:v>
                </c:pt>
                <c:pt idx="94">
                  <c:v>978.79997594718259</c:v>
                </c:pt>
                <c:pt idx="95">
                  <c:v>999.11122601914394</c:v>
                </c:pt>
                <c:pt idx="96">
                  <c:v>1019.4143252655093</c:v>
                </c:pt>
                <c:pt idx="97">
                  <c:v>1039.7094586430337</c:v>
                </c:pt>
                <c:pt idx="98">
                  <c:v>1059.9968033100852</c:v>
                </c:pt>
                <c:pt idx="99">
                  <c:v>1080.2765291013793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8983216"/>
        <c:axId val="-918981584"/>
      </c:scatterChart>
      <c:valAx>
        <c:axId val="-918983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1584"/>
        <c:crosses val="autoZero"/>
        <c:crossBetween val="midCat"/>
      </c:valAx>
      <c:valAx>
        <c:axId val="-91898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68608"/>
        <c:axId val="-777769152"/>
      </c:scatterChart>
      <c:valAx>
        <c:axId val="-7777686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9152"/>
        <c:crosses val="autoZero"/>
        <c:crossBetween val="midCat"/>
      </c:valAx>
      <c:valAx>
        <c:axId val="-77776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8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2.7107663053215236</c:v>
                </c:pt>
                <c:pt idx="2">
                  <c:v>3.6004031596664068</c:v>
                </c:pt>
                <c:pt idx="3">
                  <c:v>4.7832008576956815</c:v>
                </c:pt>
                <c:pt idx="4">
                  <c:v>6.3561344603907548</c:v>
                </c:pt>
                <c:pt idx="5">
                  <c:v>8.4483718197588118</c:v>
                </c:pt>
                <c:pt idx="6">
                  <c:v>11.231995762089561</c:v>
                </c:pt>
                <c:pt idx="7">
                  <c:v>14.936308191087944</c:v>
                </c:pt>
                <c:pt idx="8">
                  <c:v>19.866916000031427</c:v>
                </c:pt>
                <c:pt idx="9">
                  <c:v>26.431201628981615</c:v>
                </c:pt>
                <c:pt idx="10">
                  <c:v>35.172319671970541</c:v>
                </c:pt>
                <c:pt idx="11">
                  <c:v>61.195253174133917</c:v>
                </c:pt>
                <c:pt idx="12">
                  <c:v>86.922427376470623</c:v>
                </c:pt>
                <c:pt idx="13">
                  <c:v>112.45603690749546</c:v>
                </c:pt>
                <c:pt idx="14">
                  <c:v>137.8467078186861</c:v>
                </c:pt>
                <c:pt idx="15">
                  <c:v>163.12461384238844</c:v>
                </c:pt>
                <c:pt idx="16">
                  <c:v>190.7204247411147</c:v>
                </c:pt>
                <c:pt idx="17">
                  <c:v>218.22312573751947</c:v>
                </c:pt>
                <c:pt idx="18">
                  <c:v>245.6461089428318</c:v>
                </c:pt>
                <c:pt idx="19">
                  <c:v>272.99952502719992</c:v>
                </c:pt>
                <c:pt idx="20">
                  <c:v>300.2913216340458</c:v>
                </c:pt>
                <c:pt idx="21">
                  <c:v>173.13987981714703</c:v>
                </c:pt>
                <c:pt idx="22">
                  <c:v>202.07571754604893</c:v>
                </c:pt>
                <c:pt idx="23">
                  <c:v>230.91548802122449</c:v>
                </c:pt>
                <c:pt idx="24">
                  <c:v>259.67288191053939</c:v>
                </c:pt>
                <c:pt idx="25">
                  <c:v>288.35830325418618</c:v>
                </c:pt>
                <c:pt idx="26">
                  <c:v>316.29913637651748</c:v>
                </c:pt>
                <c:pt idx="27">
                  <c:v>344.18528987135386</c:v>
                </c:pt>
                <c:pt idx="28">
                  <c:v>372.02181276517587</c:v>
                </c:pt>
                <c:pt idx="29">
                  <c:v>399.81293702596389</c:v>
                </c:pt>
                <c:pt idx="30">
                  <c:v>427.56225857158461</c:v>
                </c:pt>
                <c:pt idx="31">
                  <c:v>310.85173466328649</c:v>
                </c:pt>
                <c:pt idx="32">
                  <c:v>336.70870355604046</c:v>
                </c:pt>
                <c:pt idx="33">
                  <c:v>362.52196090538217</c:v>
                </c:pt>
                <c:pt idx="34">
                  <c:v>388.29505404723028</c:v>
                </c:pt>
                <c:pt idx="35">
                  <c:v>414.03102119238082</c:v>
                </c:pt>
                <c:pt idx="36">
                  <c:v>436.35260587576499</c:v>
                </c:pt>
                <c:pt idx="37">
                  <c:v>458.64969689218088</c:v>
                </c:pt>
                <c:pt idx="38">
                  <c:v>480.92365148260507</c:v>
                </c:pt>
                <c:pt idx="39">
                  <c:v>503.17569100899021</c:v>
                </c:pt>
                <c:pt idx="40">
                  <c:v>525.40692008667054</c:v>
                </c:pt>
                <c:pt idx="41">
                  <c:v>406.24625838591629</c:v>
                </c:pt>
                <c:pt idx="42">
                  <c:v>425.53316796502639</c:v>
                </c:pt>
                <c:pt idx="43">
                  <c:v>444.80127884250447</c:v>
                </c:pt>
                <c:pt idx="44">
                  <c:v>464.05151945493071</c:v>
                </c:pt>
                <c:pt idx="45">
                  <c:v>483.28473497109485</c:v>
                </c:pt>
                <c:pt idx="46">
                  <c:v>499.80553357858707</c:v>
                </c:pt>
                <c:pt idx="47">
                  <c:v>516.31477524134391</c:v>
                </c:pt>
                <c:pt idx="48">
                  <c:v>532.81288134322483</c:v>
                </c:pt>
                <c:pt idx="49">
                  <c:v>549.30024505818972</c:v>
                </c:pt>
                <c:pt idx="50">
                  <c:v>565.77723404629694</c:v>
                </c:pt>
                <c:pt idx="51">
                  <c:v>500.81663116885539</c:v>
                </c:pt>
                <c:pt idx="52">
                  <c:v>514.96750495828326</c:v>
                </c:pt>
                <c:pt idx="53">
                  <c:v>529.11017351371675</c:v>
                </c:pt>
                <c:pt idx="54">
                  <c:v>543.24488697768527</c:v>
                </c:pt>
                <c:pt idx="55">
                  <c:v>557.37188141896695</c:v>
                </c:pt>
                <c:pt idx="56">
                  <c:v>569.47475955098764</c:v>
                </c:pt>
                <c:pt idx="57">
                  <c:v>581.57226419525421</c:v>
                </c:pt>
                <c:pt idx="58">
                  <c:v>593.66452285075354</c:v>
                </c:pt>
                <c:pt idx="59">
                  <c:v>605.75165740042155</c:v>
                </c:pt>
                <c:pt idx="60">
                  <c:v>617.83378446799804</c:v>
                </c:pt>
                <c:pt idx="61">
                  <c:v>569.47475955098764</c:v>
                </c:pt>
                <c:pt idx="62">
                  <c:v>579.89237175720086</c:v>
                </c:pt>
                <c:pt idx="63">
                  <c:v>590.30608121292823</c:v>
                </c:pt>
                <c:pt idx="64">
                  <c:v>600.71596646355397</c:v>
                </c:pt>
                <c:pt idx="65">
                  <c:v>611.12210311064734</c:v>
                </c:pt>
                <c:pt idx="66">
                  <c:v>619.84699338591429</c:v>
                </c:pt>
                <c:pt idx="67">
                  <c:v>628.5693395591328</c:v>
                </c:pt>
                <c:pt idx="68">
                  <c:v>637.289181908768</c:v>
                </c:pt>
                <c:pt idx="69">
                  <c:v>646.0065595212551</c:v>
                </c:pt>
                <c:pt idx="70">
                  <c:v>654.72151034223214</c:v>
                </c:pt>
                <c:pt idx="71">
                  <c:v>610.78647904168156</c:v>
                </c:pt>
                <c:pt idx="72">
                  <c:v>618.84040589332551</c:v>
                </c:pt>
                <c:pt idx="73">
                  <c:v>626.89216097508961</c:v>
                </c:pt>
                <c:pt idx="74">
                  <c:v>634.94177611424914</c:v>
                </c:pt>
                <c:pt idx="75">
                  <c:v>642.98928226528881</c:v>
                </c:pt>
                <c:pt idx="76">
                  <c:v>650.02914381364155</c:v>
                </c:pt>
                <c:pt idx="77">
                  <c:v>657.06743340679509</c:v>
                </c:pt>
                <c:pt idx="78">
                  <c:v>664.10417025786398</c:v>
                </c:pt>
                <c:pt idx="79">
                  <c:v>671.13937313959877</c:v>
                </c:pt>
                <c:pt idx="80">
                  <c:v>678.17306039908749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8984304"/>
        <c:axId val="-918983760"/>
      </c:scatterChart>
      <c:valAx>
        <c:axId val="-918984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3760"/>
        <c:crosses val="autoZero"/>
        <c:crossBetween val="midCat"/>
      </c:valAx>
      <c:valAx>
        <c:axId val="-918983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4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2.5380918812887914</c:v>
                </c:pt>
                <c:pt idx="2">
                  <c:v>3.2168218116837237</c:v>
                </c:pt>
                <c:pt idx="3">
                  <c:v>4.0777698035291934</c:v>
                </c:pt>
                <c:pt idx="4">
                  <c:v>5.1700364339554419</c:v>
                </c:pt>
                <c:pt idx="5">
                  <c:v>6.5559984815227494</c:v>
                </c:pt>
                <c:pt idx="6">
                  <c:v>8.3149100852329703</c:v>
                </c:pt>
                <c:pt idx="7">
                  <c:v>10.54748357687275</c:v>
                </c:pt>
                <c:pt idx="8">
                  <c:v>13.381717214799407</c:v>
                </c:pt>
                <c:pt idx="9">
                  <c:v>16.980310117401761</c:v>
                </c:pt>
                <c:pt idx="10">
                  <c:v>21.550097788741649</c:v>
                </c:pt>
                <c:pt idx="11">
                  <c:v>27.354060245633761</c:v>
                </c:pt>
                <c:pt idx="12">
                  <c:v>34.726605905427995</c:v>
                </c:pt>
                <c:pt idx="13">
                  <c:v>44.093027016943331</c:v>
                </c:pt>
                <c:pt idx="14">
                  <c:v>55.994267914108548</c:v>
                </c:pt>
                <c:pt idx="15">
                  <c:v>71.118460282851473</c:v>
                </c:pt>
                <c:pt idx="16">
                  <c:v>86.640279631357899</c:v>
                </c:pt>
                <c:pt idx="17">
                  <c:v>102.09197798314811</c:v>
                </c:pt>
                <c:pt idx="18">
                  <c:v>117.48570009032257</c:v>
                </c:pt>
                <c:pt idx="19">
                  <c:v>132.83012889595955</c:v>
                </c:pt>
                <c:pt idx="20">
                  <c:v>148.13176890752257</c:v>
                </c:pt>
                <c:pt idx="21">
                  <c:v>119.53431176581809</c:v>
                </c:pt>
                <c:pt idx="22">
                  <c:v>138.61547859875077</c:v>
                </c:pt>
                <c:pt idx="23">
                  <c:v>157.63346687299864</c:v>
                </c:pt>
                <c:pt idx="24">
                  <c:v>176.59698079091149</c:v>
                </c:pt>
                <c:pt idx="25">
                  <c:v>195.5126970958386</c:v>
                </c:pt>
                <c:pt idx="26">
                  <c:v>169.32232688472166</c:v>
                </c:pt>
                <c:pt idx="27">
                  <c:v>188.7622147072905</c:v>
                </c:pt>
                <c:pt idx="28">
                  <c:v>208.15542061438956</c:v>
                </c:pt>
                <c:pt idx="29">
                  <c:v>227.50690659831915</c:v>
                </c:pt>
                <c:pt idx="30">
                  <c:v>246.82072062447364</c:v>
                </c:pt>
                <c:pt idx="31">
                  <c:v>266.10022493300403</c:v>
                </c:pt>
                <c:pt idx="32">
                  <c:v>285.34825454721067</c:v>
                </c:pt>
                <c:pt idx="33">
                  <c:v>304.56723069319668</c:v>
                </c:pt>
                <c:pt idx="34">
                  <c:v>323.75924405165352</c:v>
                </c:pt>
                <c:pt idx="35">
                  <c:v>342.92611721533927</c:v>
                </c:pt>
                <c:pt idx="36">
                  <c:v>362.06945244173653</c:v>
                </c:pt>
                <c:pt idx="37">
                  <c:v>381.19066877305698</c:v>
                </c:pt>
                <c:pt idx="38">
                  <c:v>279.73236813579513</c:v>
                </c:pt>
                <c:pt idx="39">
                  <c:v>298.36290228402578</c:v>
                </c:pt>
                <c:pt idx="40">
                  <c:v>316.96751977104668</c:v>
                </c:pt>
                <c:pt idx="41">
                  <c:v>335.54795535646372</c:v>
                </c:pt>
                <c:pt idx="42">
                  <c:v>354.10573601815054</c:v>
                </c:pt>
                <c:pt idx="43">
                  <c:v>372.64221565134477</c:v>
                </c:pt>
                <c:pt idx="44">
                  <c:v>391.15860250001077</c:v>
                </c:pt>
                <c:pt idx="45">
                  <c:v>408.38191107345261</c:v>
                </c:pt>
                <c:pt idx="46">
                  <c:v>425.58953439919554</c:v>
                </c:pt>
                <c:pt idx="47">
                  <c:v>442.78219568944655</c:v>
                </c:pt>
                <c:pt idx="48">
                  <c:v>459.96055743396852</c:v>
                </c:pt>
                <c:pt idx="49">
                  <c:v>477.12522862263791</c:v>
                </c:pt>
                <c:pt idx="50">
                  <c:v>494.27677087474535</c:v>
                </c:pt>
                <c:pt idx="51">
                  <c:v>511.41570367346873</c:v>
                </c:pt>
                <c:pt idx="52">
                  <c:v>528.54250886235855</c:v>
                </c:pt>
                <c:pt idx="53">
                  <c:v>393.44213889474253</c:v>
                </c:pt>
                <c:pt idx="54">
                  <c:v>409.00414204035161</c:v>
                </c:pt>
                <c:pt idx="55">
                  <c:v>424.55336102424582</c:v>
                </c:pt>
                <c:pt idx="56">
                  <c:v>440.09032987714448</c:v>
                </c:pt>
                <c:pt idx="57">
                  <c:v>455.61554185670815</c:v>
                </c:pt>
                <c:pt idx="58">
                  <c:v>471.12945387268024</c:v>
                </c:pt>
                <c:pt idx="59">
                  <c:v>486.63249029889352</c:v>
                </c:pt>
                <c:pt idx="60">
                  <c:v>502.12504627431412</c:v>
                </c:pt>
                <c:pt idx="61">
                  <c:v>516.43805116680835</c:v>
                </c:pt>
                <c:pt idx="62">
                  <c:v>530.74268804192241</c:v>
                </c:pt>
                <c:pt idx="63">
                  <c:v>545.03921412799468</c:v>
                </c:pt>
                <c:pt idx="64">
                  <c:v>559.32787206369096</c:v>
                </c:pt>
                <c:pt idx="65">
                  <c:v>573.60889108483491</c:v>
                </c:pt>
                <c:pt idx="66">
                  <c:v>587.88248808694334</c:v>
                </c:pt>
                <c:pt idx="67">
                  <c:v>602.14886857924898</c:v>
                </c:pt>
                <c:pt idx="68">
                  <c:v>616.40822754364933</c:v>
                </c:pt>
                <c:pt idx="69">
                  <c:v>630.66075021008362</c:v>
                </c:pt>
                <c:pt idx="70">
                  <c:v>3.5982663925596575E-12</c:v>
                </c:pt>
                <c:pt idx="71">
                  <c:v>3.5982663925596575E-12</c:v>
                </c:pt>
                <c:pt idx="72">
                  <c:v>3.5982663925596575E-12</c:v>
                </c:pt>
                <c:pt idx="73">
                  <c:v>3.5982663925596575E-12</c:v>
                </c:pt>
                <c:pt idx="74">
                  <c:v>3.5982663925596575E-12</c:v>
                </c:pt>
                <c:pt idx="75">
                  <c:v>3.5982663925596575E-12</c:v>
                </c:pt>
                <c:pt idx="76">
                  <c:v>3.5982663925596575E-12</c:v>
                </c:pt>
                <c:pt idx="77">
                  <c:v>3.5982663925596575E-12</c:v>
                </c:pt>
                <c:pt idx="78">
                  <c:v>3.5982663925596575E-12</c:v>
                </c:pt>
                <c:pt idx="79">
                  <c:v>3.5982663925596575E-12</c:v>
                </c:pt>
                <c:pt idx="80">
                  <c:v>3.5982663925596575E-12</c:v>
                </c:pt>
                <c:pt idx="81">
                  <c:v>3.5982663925596575E-12</c:v>
                </c:pt>
                <c:pt idx="82">
                  <c:v>3.5982663925596575E-12</c:v>
                </c:pt>
                <c:pt idx="83">
                  <c:v>3.5982663925596575E-12</c:v>
                </c:pt>
                <c:pt idx="84">
                  <c:v>3.5982663925596575E-12</c:v>
                </c:pt>
                <c:pt idx="85">
                  <c:v>3.5982663925596575E-12</c:v>
                </c:pt>
                <c:pt idx="86">
                  <c:v>3.5982663925596575E-12</c:v>
                </c:pt>
                <c:pt idx="87">
                  <c:v>3.5982663925596575E-12</c:v>
                </c:pt>
                <c:pt idx="88">
                  <c:v>3.5982663925596575E-12</c:v>
                </c:pt>
                <c:pt idx="89">
                  <c:v>3.5982663925596575E-12</c:v>
                </c:pt>
                <c:pt idx="90">
                  <c:v>3.5982663925596575E-12</c:v>
                </c:pt>
                <c:pt idx="91">
                  <c:v>3.5982663925596575E-12</c:v>
                </c:pt>
                <c:pt idx="92">
                  <c:v>3.5982663925596575E-12</c:v>
                </c:pt>
                <c:pt idx="93">
                  <c:v>3.5982663925596575E-12</c:v>
                </c:pt>
                <c:pt idx="94">
                  <c:v>3.5982663925596575E-12</c:v>
                </c:pt>
                <c:pt idx="95">
                  <c:v>3.5982663925596575E-12</c:v>
                </c:pt>
                <c:pt idx="96">
                  <c:v>3.5982663925596575E-12</c:v>
                </c:pt>
                <c:pt idx="97">
                  <c:v>3.5982663925596575E-12</c:v>
                </c:pt>
                <c:pt idx="98">
                  <c:v>3.5982663925596575E-12</c:v>
                </c:pt>
                <c:pt idx="99">
                  <c:v>3.5982663925596575E-12</c:v>
                </c:pt>
                <c:pt idx="100">
                  <c:v>3.5982663925596575E-12</c:v>
                </c:pt>
                <c:pt idx="101">
                  <c:v>3.5982663925596575E-12</c:v>
                </c:pt>
                <c:pt idx="102">
                  <c:v>3.5982663925596575E-12</c:v>
                </c:pt>
                <c:pt idx="103">
                  <c:v>3.5982663925596575E-12</c:v>
                </c:pt>
                <c:pt idx="104">
                  <c:v>3.5982663925596575E-12</c:v>
                </c:pt>
                <c:pt idx="105">
                  <c:v>3.5982663925596575E-12</c:v>
                </c:pt>
                <c:pt idx="106">
                  <c:v>3.5982663925596575E-12</c:v>
                </c:pt>
                <c:pt idx="107">
                  <c:v>3.5982663925596575E-12</c:v>
                </c:pt>
                <c:pt idx="108">
                  <c:v>3.5982663925596575E-12</c:v>
                </c:pt>
                <c:pt idx="109">
                  <c:v>3.5982663925596575E-12</c:v>
                </c:pt>
                <c:pt idx="110">
                  <c:v>3.5982663925596575E-12</c:v>
                </c:pt>
                <c:pt idx="111">
                  <c:v>3.5982663925596575E-12</c:v>
                </c:pt>
                <c:pt idx="112">
                  <c:v>3.5982663925596575E-12</c:v>
                </c:pt>
                <c:pt idx="113">
                  <c:v>3.5982663925596575E-12</c:v>
                </c:pt>
                <c:pt idx="114">
                  <c:v>3.5982663925596575E-12</c:v>
                </c:pt>
                <c:pt idx="115">
                  <c:v>3.5982663925596575E-12</c:v>
                </c:pt>
                <c:pt idx="116">
                  <c:v>3.5982663925596575E-12</c:v>
                </c:pt>
                <c:pt idx="117">
                  <c:v>3.5982663925596575E-12</c:v>
                </c:pt>
                <c:pt idx="118">
                  <c:v>3.5982663925596575E-12</c:v>
                </c:pt>
                <c:pt idx="119">
                  <c:v>3.5982663925596575E-12</c:v>
                </c:pt>
                <c:pt idx="120">
                  <c:v>3.5982663925596575E-12</c:v>
                </c:pt>
                <c:pt idx="121">
                  <c:v>3.5982663925596575E-12</c:v>
                </c:pt>
                <c:pt idx="122">
                  <c:v>3.5982663925596575E-12</c:v>
                </c:pt>
                <c:pt idx="123">
                  <c:v>3.5982663925596575E-12</c:v>
                </c:pt>
                <c:pt idx="124">
                  <c:v>3.5982663925596575E-12</c:v>
                </c:pt>
                <c:pt idx="125">
                  <c:v>3.5982663925596575E-12</c:v>
                </c:pt>
                <c:pt idx="126">
                  <c:v>3.5982663925596575E-12</c:v>
                </c:pt>
                <c:pt idx="127">
                  <c:v>3.5982663925596575E-12</c:v>
                </c:pt>
                <c:pt idx="128">
                  <c:v>3.5982663925596575E-12</c:v>
                </c:pt>
                <c:pt idx="129">
                  <c:v>3.5982663925596575E-12</c:v>
                </c:pt>
                <c:pt idx="130">
                  <c:v>3.5982663925596575E-12</c:v>
                </c:pt>
                <c:pt idx="131">
                  <c:v>3.5982663925596575E-12</c:v>
                </c:pt>
                <c:pt idx="132">
                  <c:v>3.5982663925596575E-12</c:v>
                </c:pt>
                <c:pt idx="133">
                  <c:v>3.5982663925596575E-12</c:v>
                </c:pt>
                <c:pt idx="134">
                  <c:v>3.5982663925596575E-12</c:v>
                </c:pt>
                <c:pt idx="135">
                  <c:v>3.5982663925596575E-12</c:v>
                </c:pt>
                <c:pt idx="136">
                  <c:v>3.5982663925596575E-12</c:v>
                </c:pt>
                <c:pt idx="137">
                  <c:v>3.5982663925596575E-12</c:v>
                </c:pt>
                <c:pt idx="138">
                  <c:v>3.5982663925596575E-12</c:v>
                </c:pt>
                <c:pt idx="139">
                  <c:v>3.5982663925596575E-12</c:v>
                </c:pt>
                <c:pt idx="140">
                  <c:v>3.5982663925596575E-12</c:v>
                </c:pt>
                <c:pt idx="141">
                  <c:v>3.5982663925596575E-12</c:v>
                </c:pt>
                <c:pt idx="142">
                  <c:v>3.5982663925596575E-12</c:v>
                </c:pt>
                <c:pt idx="143">
                  <c:v>3.5982663925596575E-12</c:v>
                </c:pt>
                <c:pt idx="144">
                  <c:v>3.5982663925596575E-12</c:v>
                </c:pt>
                <c:pt idx="145">
                  <c:v>3.5982663925596575E-12</c:v>
                </c:pt>
                <c:pt idx="146">
                  <c:v>3.5982663925596575E-12</c:v>
                </c:pt>
                <c:pt idx="147">
                  <c:v>3.5982663925596575E-12</c:v>
                </c:pt>
                <c:pt idx="148">
                  <c:v>3.5982663925596575E-12</c:v>
                </c:pt>
                <c:pt idx="149">
                  <c:v>3.5982663925596575E-12</c:v>
                </c:pt>
                <c:pt idx="150">
                  <c:v>3.5982663925596575E-12</c:v>
                </c:pt>
                <c:pt idx="151">
                  <c:v>3.5982663925596575E-12</c:v>
                </c:pt>
                <c:pt idx="152">
                  <c:v>3.5982663925596575E-12</c:v>
                </c:pt>
                <c:pt idx="153">
                  <c:v>3.5982663925596575E-12</c:v>
                </c:pt>
                <c:pt idx="154">
                  <c:v>3.5982663925596575E-12</c:v>
                </c:pt>
                <c:pt idx="155">
                  <c:v>3.5982663925596575E-12</c:v>
                </c:pt>
                <c:pt idx="156">
                  <c:v>3.5982663925596575E-12</c:v>
                </c:pt>
                <c:pt idx="157">
                  <c:v>3.5982663925596575E-12</c:v>
                </c:pt>
                <c:pt idx="158">
                  <c:v>3.5982663925596575E-12</c:v>
                </c:pt>
                <c:pt idx="159">
                  <c:v>3.5982663925596575E-12</c:v>
                </c:pt>
                <c:pt idx="160">
                  <c:v>3.5982663925596575E-12</c:v>
                </c:pt>
                <c:pt idx="161">
                  <c:v>3.5982663925596575E-12</c:v>
                </c:pt>
                <c:pt idx="162">
                  <c:v>3.5982663925596575E-12</c:v>
                </c:pt>
                <c:pt idx="163">
                  <c:v>3.5982663925596575E-12</c:v>
                </c:pt>
                <c:pt idx="164">
                  <c:v>3.5982663925596575E-12</c:v>
                </c:pt>
                <c:pt idx="165">
                  <c:v>3.5982663925596575E-12</c:v>
                </c:pt>
                <c:pt idx="166">
                  <c:v>3.5982663925596575E-12</c:v>
                </c:pt>
                <c:pt idx="167">
                  <c:v>3.5982663925596575E-12</c:v>
                </c:pt>
                <c:pt idx="168">
                  <c:v>3.5982663925596575E-12</c:v>
                </c:pt>
                <c:pt idx="169">
                  <c:v>3.5982663925596575E-12</c:v>
                </c:pt>
                <c:pt idx="170">
                  <c:v>3.5982663925596575E-12</c:v>
                </c:pt>
                <c:pt idx="171">
                  <c:v>3.5982663925596575E-12</c:v>
                </c:pt>
                <c:pt idx="172">
                  <c:v>3.5982663925596575E-12</c:v>
                </c:pt>
                <c:pt idx="173">
                  <c:v>3.5982663925596575E-12</c:v>
                </c:pt>
                <c:pt idx="174">
                  <c:v>3.5982663925596575E-12</c:v>
                </c:pt>
                <c:pt idx="175">
                  <c:v>3.5982663925596575E-12</c:v>
                </c:pt>
                <c:pt idx="176">
                  <c:v>3.5982663925596575E-12</c:v>
                </c:pt>
                <c:pt idx="177">
                  <c:v>3.5982663925596575E-12</c:v>
                </c:pt>
                <c:pt idx="178">
                  <c:v>3.5982663925596575E-12</c:v>
                </c:pt>
                <c:pt idx="179">
                  <c:v>3.5982663925596575E-12</c:v>
                </c:pt>
                <c:pt idx="180">
                  <c:v>3.5982663925596575E-12</c:v>
                </c:pt>
                <c:pt idx="181">
                  <c:v>3.5982663925596575E-12</c:v>
                </c:pt>
                <c:pt idx="182">
                  <c:v>3.5982663925596575E-12</c:v>
                </c:pt>
                <c:pt idx="183">
                  <c:v>3.5982663925596575E-12</c:v>
                </c:pt>
                <c:pt idx="184">
                  <c:v>3.5982663925596575E-12</c:v>
                </c:pt>
                <c:pt idx="185">
                  <c:v>3.5982663925596575E-12</c:v>
                </c:pt>
                <c:pt idx="186">
                  <c:v>3.5982663925596575E-12</c:v>
                </c:pt>
                <c:pt idx="187">
                  <c:v>3.5982663925596575E-12</c:v>
                </c:pt>
                <c:pt idx="188">
                  <c:v>3.5982663925596575E-12</c:v>
                </c:pt>
                <c:pt idx="189">
                  <c:v>3.5982663925596575E-12</c:v>
                </c:pt>
                <c:pt idx="190">
                  <c:v>3.5982663925596575E-12</c:v>
                </c:pt>
                <c:pt idx="191">
                  <c:v>3.5982663925596575E-12</c:v>
                </c:pt>
                <c:pt idx="192">
                  <c:v>3.5982663925596575E-12</c:v>
                </c:pt>
                <c:pt idx="193">
                  <c:v>3.5982663925596575E-12</c:v>
                </c:pt>
                <c:pt idx="194">
                  <c:v>3.5982663925596575E-12</c:v>
                </c:pt>
                <c:pt idx="195">
                  <c:v>3.5982663925596575E-12</c:v>
                </c:pt>
                <c:pt idx="196">
                  <c:v>3.5982663925596575E-12</c:v>
                </c:pt>
                <c:pt idx="197">
                  <c:v>3.5982663925596575E-12</c:v>
                </c:pt>
                <c:pt idx="198">
                  <c:v>3.5982663925596575E-12</c:v>
                </c:pt>
                <c:pt idx="199">
                  <c:v>3.5982663925596575E-12</c:v>
                </c:pt>
                <c:pt idx="200">
                  <c:v>3.5982663925596575E-12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8982672"/>
        <c:axId val="-918979952"/>
      </c:scatterChart>
      <c:valAx>
        <c:axId val="-918982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79952"/>
        <c:crosses val="autoZero"/>
        <c:crossBetween val="midCat"/>
      </c:valAx>
      <c:valAx>
        <c:axId val="-918979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2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2.5717272485907814</c:v>
                </c:pt>
                <c:pt idx="2">
                  <c:v>3.2402608019311159</c:v>
                </c:pt>
                <c:pt idx="3">
                  <c:v>4.0832624280532892</c:v>
                </c:pt>
                <c:pt idx="4">
                  <c:v>5.14643042029713</c:v>
                </c:pt>
                <c:pt idx="5">
                  <c:v>6.4874737480469413</c:v>
                </c:pt>
                <c:pt idx="6">
                  <c:v>8.1792787679743544</c:v>
                </c:pt>
                <c:pt idx="7">
                  <c:v>10.313913297230501</c:v>
                </c:pt>
                <c:pt idx="8">
                  <c:v>13.007690059316532</c:v>
                </c:pt>
                <c:pt idx="9">
                  <c:v>16.407570518045844</c:v>
                </c:pt>
                <c:pt idx="10">
                  <c:v>20.699264836034356</c:v>
                </c:pt>
                <c:pt idx="11">
                  <c:v>40.194516673030414</c:v>
                </c:pt>
                <c:pt idx="12">
                  <c:v>59.423997506342801</c:v>
                </c:pt>
                <c:pt idx="13">
                  <c:v>78.488959578049446</c:v>
                </c:pt>
                <c:pt idx="14">
                  <c:v>97.435579235164482</c:v>
                </c:pt>
                <c:pt idx="15">
                  <c:v>116.29027446560372</c:v>
                </c:pt>
                <c:pt idx="16">
                  <c:v>140.27513047395146</c:v>
                </c:pt>
                <c:pt idx="17">
                  <c:v>164.16133458057877</c:v>
                </c:pt>
                <c:pt idx="18">
                  <c:v>187.96529046020362</c:v>
                </c:pt>
                <c:pt idx="19">
                  <c:v>211.698889435729</c:v>
                </c:pt>
                <c:pt idx="20">
                  <c:v>235.3711313482562</c:v>
                </c:pt>
                <c:pt idx="21">
                  <c:v>145.47552012532867</c:v>
                </c:pt>
                <c:pt idx="22">
                  <c:v>171.06890310603498</c:v>
                </c:pt>
                <c:pt idx="23">
                  <c:v>196.57202562416433</c:v>
                </c:pt>
                <c:pt idx="24">
                  <c:v>221.99825658782564</c:v>
                </c:pt>
                <c:pt idx="25">
                  <c:v>247.35764363735257</c:v>
                </c:pt>
                <c:pt idx="26">
                  <c:v>271.63337657752703</c:v>
                </c:pt>
                <c:pt idx="27">
                  <c:v>295.86031593712704</c:v>
                </c:pt>
                <c:pt idx="28">
                  <c:v>320.04301686645277</c:v>
                </c:pt>
                <c:pt idx="29">
                  <c:v>344.18528987135363</c:v>
                </c:pt>
                <c:pt idx="30">
                  <c:v>368.29036734139117</c:v>
                </c:pt>
                <c:pt idx="31">
                  <c:v>270.95024442791083</c:v>
                </c:pt>
                <c:pt idx="32">
                  <c:v>292.79183050888702</c:v>
                </c:pt>
                <c:pt idx="33">
                  <c:v>314.59704855401981</c:v>
                </c:pt>
                <c:pt idx="34">
                  <c:v>336.3687724940782</c:v>
                </c:pt>
                <c:pt idx="35">
                  <c:v>358.10947390735419</c:v>
                </c:pt>
                <c:pt idx="36">
                  <c:v>377.44791553782278</c:v>
                </c:pt>
                <c:pt idx="37">
                  <c:v>396.76479421746438</c:v>
                </c:pt>
                <c:pt idx="38">
                  <c:v>416.06130692450483</c:v>
                </c:pt>
                <c:pt idx="39">
                  <c:v>435.33853059869926</c:v>
                </c:pt>
                <c:pt idx="40">
                  <c:v>454.59743907080428</c:v>
                </c:pt>
                <c:pt idx="41">
                  <c:v>352.6770845621848</c:v>
                </c:pt>
                <c:pt idx="42">
                  <c:v>369.30811574035596</c:v>
                </c:pt>
                <c:pt idx="43">
                  <c:v>385.92281180916171</c:v>
                </c:pt>
                <c:pt idx="44">
                  <c:v>402.52197482878046</c:v>
                </c:pt>
                <c:pt idx="45">
                  <c:v>419.10633532774779</c:v>
                </c:pt>
                <c:pt idx="46">
                  <c:v>433.64829237195022</c:v>
                </c:pt>
                <c:pt idx="47">
                  <c:v>448.17978162908202</c:v>
                </c:pt>
                <c:pt idx="48">
                  <c:v>462.70119023345586</c:v>
                </c:pt>
                <c:pt idx="49">
                  <c:v>477.212879043182</c:v>
                </c:pt>
                <c:pt idx="50">
                  <c:v>491.71518518509515</c:v>
                </c:pt>
                <c:pt idx="51">
                  <c:v>431.61981966331092</c:v>
                </c:pt>
                <c:pt idx="52">
                  <c:v>444.12551245998566</c:v>
                </c:pt>
                <c:pt idx="53">
                  <c:v>456.62366402503358</c:v>
                </c:pt>
                <c:pt idx="54">
                  <c:v>469.11450984619825</c:v>
                </c:pt>
                <c:pt idx="55">
                  <c:v>481.59827184865549</c:v>
                </c:pt>
                <c:pt idx="56">
                  <c:v>492.05233905304067</c:v>
                </c:pt>
                <c:pt idx="57">
                  <c:v>502.50169784424844</c:v>
                </c:pt>
                <c:pt idx="58">
                  <c:v>512.94645994076382</c:v>
                </c:pt>
                <c:pt idx="59">
                  <c:v>523.38673214011703</c:v>
                </c:pt>
                <c:pt idx="60">
                  <c:v>533.82261663157112</c:v>
                </c:pt>
                <c:pt idx="61">
                  <c:v>492.05233905304044</c:v>
                </c:pt>
                <c:pt idx="62">
                  <c:v>500.81663116885539</c:v>
                </c:pt>
                <c:pt idx="63">
                  <c:v>509.57767746501708</c:v>
                </c:pt>
                <c:pt idx="64">
                  <c:v>518.33554162748931</c:v>
                </c:pt>
                <c:pt idx="65">
                  <c:v>527.09028501417185</c:v>
                </c:pt>
                <c:pt idx="66">
                  <c:v>534.49575116718881</c:v>
                </c:pt>
                <c:pt idx="67">
                  <c:v>541.89905996909988</c:v>
                </c:pt>
                <c:pt idx="68">
                  <c:v>549.30024505818949</c:v>
                </c:pt>
                <c:pt idx="69">
                  <c:v>556.69933909209135</c:v>
                </c:pt>
                <c:pt idx="70">
                  <c:v>564.09637378931632</c:v>
                </c:pt>
                <c:pt idx="71">
                  <c:v>527.7635992605982</c:v>
                </c:pt>
                <c:pt idx="72">
                  <c:v>535.16886787415808</c:v>
                </c:pt>
                <c:pt idx="73">
                  <c:v>542.57198223629882</c:v>
                </c:pt>
                <c:pt idx="74">
                  <c:v>549.97297589437528</c:v>
                </c:pt>
                <c:pt idx="75">
                  <c:v>557.37188141896661</c:v>
                </c:pt>
                <c:pt idx="76">
                  <c:v>563.4240003694224</c:v>
                </c:pt>
                <c:pt idx="77">
                  <c:v>569.47475955098753</c:v>
                </c:pt>
                <c:pt idx="78">
                  <c:v>575.52417545438061</c:v>
                </c:pt>
                <c:pt idx="79">
                  <c:v>581.57226419525409</c:v>
                </c:pt>
                <c:pt idx="80">
                  <c:v>587.61904152662294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918982128"/>
        <c:axId val="-918979408"/>
      </c:scatterChart>
      <c:valAx>
        <c:axId val="-9189821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79408"/>
        <c:crosses val="autoZero"/>
        <c:crossBetween val="midCat"/>
      </c:valAx>
      <c:valAx>
        <c:axId val="-918979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918982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3.0420346989866704</c:v>
                </c:pt>
                <c:pt idx="2">
                  <c:v>3.8157728974545706</c:v>
                </c:pt>
                <c:pt idx="3">
                  <c:v>4.7870700055510769</c:v>
                </c:pt>
                <c:pt idx="4">
                  <c:v>6.0065514344902446</c:v>
                </c:pt>
                <c:pt idx="5">
                  <c:v>7.5378593378781131</c:v>
                </c:pt>
                <c:pt idx="6">
                  <c:v>9.4610098992627645</c:v>
                </c:pt>
                <c:pt idx="7">
                  <c:v>11.876619016734798</c:v>
                </c:pt>
                <c:pt idx="8">
                  <c:v>14.911221593210763</c:v>
                </c:pt>
                <c:pt idx="9">
                  <c:v>18.723968185473154</c:v>
                </c:pt>
                <c:pt idx="10">
                  <c:v>23.515056561317763</c:v>
                </c:pt>
                <c:pt idx="11">
                  <c:v>29.536348743362321</c:v>
                </c:pt>
                <c:pt idx="12">
                  <c:v>37.104741402260892</c:v>
                </c:pt>
                <c:pt idx="13">
                  <c:v>46.619005336897253</c:v>
                </c:pt>
                <c:pt idx="14">
                  <c:v>58.580996237948476</c:v>
                </c:pt>
                <c:pt idx="15">
                  <c:v>73.622374059447182</c:v>
                </c:pt>
                <c:pt idx="16">
                  <c:v>86.027026900724209</c:v>
                </c:pt>
                <c:pt idx="17">
                  <c:v>98.386606823813551</c:v>
                </c:pt>
                <c:pt idx="18">
                  <c:v>110.70758759686305</c:v>
                </c:pt>
                <c:pt idx="19">
                  <c:v>122.99487803223985</c:v>
                </c:pt>
                <c:pt idx="20">
                  <c:v>135.25232276388536</c:v>
                </c:pt>
                <c:pt idx="21">
                  <c:v>116.05378114695958</c:v>
                </c:pt>
                <c:pt idx="22">
                  <c:v>128.86065300664029</c:v>
                </c:pt>
                <c:pt idx="23">
                  <c:v>141.63671807803618</c:v>
                </c:pt>
                <c:pt idx="24">
                  <c:v>154.38514961309502</c:v>
                </c:pt>
                <c:pt idx="25">
                  <c:v>167.1085529281807</c:v>
                </c:pt>
                <c:pt idx="26">
                  <c:v>180.07346903707784</c:v>
                </c:pt>
                <c:pt idx="27">
                  <c:v>193.01652648469152</c:v>
                </c:pt>
                <c:pt idx="28">
                  <c:v>205.93939837056428</c:v>
                </c:pt>
                <c:pt idx="29">
                  <c:v>218.84353045246925</c:v>
                </c:pt>
                <c:pt idx="30">
                  <c:v>231.73018391404943</c:v>
                </c:pt>
                <c:pt idx="31">
                  <c:v>194.33608568327782</c:v>
                </c:pt>
                <c:pt idx="32">
                  <c:v>206.99348121648254</c:v>
                </c:pt>
                <c:pt idx="33">
                  <c:v>219.63299956927833</c:v>
                </c:pt>
                <c:pt idx="34">
                  <c:v>232.2558150017459</c:v>
                </c:pt>
                <c:pt idx="35">
                  <c:v>244.86296361177941</c:v>
                </c:pt>
                <c:pt idx="36">
                  <c:v>256.66875686937959</c:v>
                </c:pt>
                <c:pt idx="37">
                  <c:v>268.46227085543052</c:v>
                </c:pt>
                <c:pt idx="38">
                  <c:v>280.24412126769488</c:v>
                </c:pt>
                <c:pt idx="39">
                  <c:v>292.01486777837994</c:v>
                </c:pt>
                <c:pt idx="40">
                  <c:v>303.7750212334941</c:v>
                </c:pt>
                <c:pt idx="41">
                  <c:v>259.02842143420224</c:v>
                </c:pt>
                <c:pt idx="42">
                  <c:v>270.5576577420951</c:v>
                </c:pt>
                <c:pt idx="43">
                  <c:v>282.07584211332164</c:v>
                </c:pt>
                <c:pt idx="44">
                  <c:v>293.58348965406162</c:v>
                </c:pt>
                <c:pt idx="45">
                  <c:v>305.08107177066285</c:v>
                </c:pt>
                <c:pt idx="46">
                  <c:v>315.78604978151731</c:v>
                </c:pt>
                <c:pt idx="47">
                  <c:v>326.48298800862847</c:v>
                </c:pt>
                <c:pt idx="48">
                  <c:v>337.17218712513107</c:v>
                </c:pt>
                <c:pt idx="49">
                  <c:v>347.85392717486349</c:v>
                </c:pt>
                <c:pt idx="50">
                  <c:v>358.52846959138947</c:v>
                </c:pt>
                <c:pt idx="51">
                  <c:v>311.08731192298092</c:v>
                </c:pt>
                <c:pt idx="52">
                  <c:v>321.00505366693505</c:v>
                </c:pt>
                <c:pt idx="53">
                  <c:v>330.91601767951261</c:v>
                </c:pt>
                <c:pt idx="54">
                  <c:v>340.82043568930754</c:v>
                </c:pt>
                <c:pt idx="55">
                  <c:v>350.71852484978672</c:v>
                </c:pt>
                <c:pt idx="56">
                  <c:v>360.35025103245721</c:v>
                </c:pt>
                <c:pt idx="57">
                  <c:v>369.97634760308432</c:v>
                </c:pt>
                <c:pt idx="58">
                  <c:v>379.59698175873206</c:v>
                </c:pt>
                <c:pt idx="59">
                  <c:v>389.21231152581731</c:v>
                </c:pt>
                <c:pt idx="60">
                  <c:v>398.82248648214392</c:v>
                </c:pt>
                <c:pt idx="61">
                  <c:v>350.71852484978677</c:v>
                </c:pt>
                <c:pt idx="62">
                  <c:v>359.82976265837533</c:v>
                </c:pt>
                <c:pt idx="63">
                  <c:v>368.93595475683105</c:v>
                </c:pt>
                <c:pt idx="64">
                  <c:v>378.03724331757013</c:v>
                </c:pt>
                <c:pt idx="65">
                  <c:v>387.13376310498353</c:v>
                </c:pt>
                <c:pt idx="66">
                  <c:v>395.96593734192192</c:v>
                </c:pt>
                <c:pt idx="67">
                  <c:v>404.79384366028671</c:v>
                </c:pt>
                <c:pt idx="68">
                  <c:v>413.61758830879904</c:v>
                </c:pt>
                <c:pt idx="69">
                  <c:v>422.43727263090176</c:v>
                </c:pt>
                <c:pt idx="70">
                  <c:v>431.25299339113462</c:v>
                </c:pt>
                <c:pt idx="71">
                  <c:v>383.49571910906292</c:v>
                </c:pt>
                <c:pt idx="72">
                  <c:v>391.55039055498497</c:v>
                </c:pt>
                <c:pt idx="73">
                  <c:v>399.6014682962853</c:v>
                </c:pt>
                <c:pt idx="74">
                  <c:v>407.64903499495517</c:v>
                </c:pt>
                <c:pt idx="75">
                  <c:v>415.69316978100892</c:v>
                </c:pt>
                <c:pt idx="76">
                  <c:v>423.47462014479123</c:v>
                </c:pt>
                <c:pt idx="77">
                  <c:v>431.25299339113462</c:v>
                </c:pt>
                <c:pt idx="78">
                  <c:v>439.02835288001376</c:v>
                </c:pt>
                <c:pt idx="79">
                  <c:v>446.8007595428424</c:v>
                </c:pt>
                <c:pt idx="80">
                  <c:v>454.57027201710906</c:v>
                </c:pt>
                <c:pt idx="81">
                  <c:v>408.94670619291861</c:v>
                </c:pt>
                <c:pt idx="82">
                  <c:v>416.47145514591904</c:v>
                </c:pt>
                <c:pt idx="83">
                  <c:v>423.99327337945806</c:v>
                </c:pt>
                <c:pt idx="84">
                  <c:v>431.51222025114242</c:v>
                </c:pt>
                <c:pt idx="85">
                  <c:v>439.02835288001387</c:v>
                </c:pt>
                <c:pt idx="86">
                  <c:v>446.28268977684507</c:v>
                </c:pt>
                <c:pt idx="87">
                  <c:v>453.53450218884836</c:v>
                </c:pt>
                <c:pt idx="88">
                  <c:v>460.78383619747001</c:v>
                </c:pt>
                <c:pt idx="89">
                  <c:v>468.03073631512626</c:v>
                </c:pt>
                <c:pt idx="90">
                  <c:v>475.27524556262642</c:v>
                </c:pt>
                <c:pt idx="91">
                  <c:v>431.51222025114242</c:v>
                </c:pt>
                <c:pt idx="92">
                  <c:v>438.25095079526091</c:v>
                </c:pt>
                <c:pt idx="93">
                  <c:v>444.9874589773637</c:v>
                </c:pt>
                <c:pt idx="94">
                  <c:v>451.72178320878947</c:v>
                </c:pt>
                <c:pt idx="95">
                  <c:v>458.4539606614365</c:v>
                </c:pt>
                <c:pt idx="96">
                  <c:v>464.92521721380893</c:v>
                </c:pt>
                <c:pt idx="97">
                  <c:v>471.39455324221302</c:v>
                </c:pt>
                <c:pt idx="98">
                  <c:v>477.86199883742233</c:v>
                </c:pt>
                <c:pt idx="99">
                  <c:v>484.32758320878617</c:v>
                </c:pt>
                <c:pt idx="100">
                  <c:v>490.79133472172845</c:v>
                </c:pt>
                <c:pt idx="101">
                  <c:v>450.4268887117974</c:v>
                </c:pt>
                <c:pt idx="102">
                  <c:v>456.64166046854797</c:v>
                </c:pt>
                <c:pt idx="103">
                  <c:v>462.85462553575684</c:v>
                </c:pt>
                <c:pt idx="104">
                  <c:v>469.06581160208765</c:v>
                </c:pt>
                <c:pt idx="105">
                  <c:v>475.27524556262642</c:v>
                </c:pt>
                <c:pt idx="106">
                  <c:v>481.48295355192562</c:v>
                </c:pt>
                <c:pt idx="107">
                  <c:v>487.68896097525595</c:v>
                </c:pt>
                <c:pt idx="108">
                  <c:v>493.8932925381834</c:v>
                </c:pt>
                <c:pt idx="109">
                  <c:v>500.09597227458136</c:v>
                </c:pt>
                <c:pt idx="110">
                  <c:v>506.29702357318189</c:v>
                </c:pt>
                <c:pt idx="111">
                  <c:v>467.90134847617463</c:v>
                </c:pt>
                <c:pt idx="112">
                  <c:v>473.46434009613796</c:v>
                </c:pt>
                <c:pt idx="113">
                  <c:v>479.02594054825903</c:v>
                </c:pt>
                <c:pt idx="114">
                  <c:v>484.58616827417524</c:v>
                </c:pt>
                <c:pt idx="115">
                  <c:v>490.14504125750909</c:v>
                </c:pt>
                <c:pt idx="116">
                  <c:v>495.70257704042325</c:v>
                </c:pt>
                <c:pt idx="117">
                  <c:v>501.25879273939586</c:v>
                </c:pt>
                <c:pt idx="118">
                  <c:v>506.81370506025854</c:v>
                </c:pt>
                <c:pt idx="119">
                  <c:v>512.36733031254118</c:v>
                </c:pt>
                <c:pt idx="120">
                  <c:v>517.91968442316272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72960"/>
        <c:axId val="-777766432"/>
      </c:scatterChart>
      <c:valAx>
        <c:axId val="-777772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6432"/>
        <c:crosses val="autoZero"/>
        <c:crossBetween val="midCat"/>
      </c:valAx>
      <c:valAx>
        <c:axId val="-777766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2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2.2007158170150634</c:v>
                </c:pt>
                <c:pt idx="2">
                  <c:v>2.7962519094118723</c:v>
                </c:pt>
                <c:pt idx="3">
                  <c:v>3.5535861505858075</c:v>
                </c:pt>
                <c:pt idx="4">
                  <c:v>4.5168406960899965</c:v>
                </c:pt>
                <c:pt idx="5">
                  <c:v>5.7422116394973726</c:v>
                </c:pt>
                <c:pt idx="6">
                  <c:v>7.3012836732651438</c:v>
                </c:pt>
                <c:pt idx="7">
                  <c:v>9.2852574241869252</c:v>
                </c:pt>
                <c:pt idx="8">
                  <c:v>11.810341445786392</c:v>
                </c:pt>
                <c:pt idx="9">
                  <c:v>15.024630592214445</c:v>
                </c:pt>
                <c:pt idx="10">
                  <c:v>19.116881586433095</c:v>
                </c:pt>
                <c:pt idx="11">
                  <c:v>24.327710406972969</c:v>
                </c:pt>
                <c:pt idx="12">
                  <c:v>30.963881526939787</c:v>
                </c:pt>
                <c:pt idx="13">
                  <c:v>39.416544835762807</c:v>
                </c:pt>
                <c:pt idx="14">
                  <c:v>50.184513497177107</c:v>
                </c:pt>
                <c:pt idx="15">
                  <c:v>63.903979417585994</c:v>
                </c:pt>
                <c:pt idx="16">
                  <c:v>74.968706876518851</c:v>
                </c:pt>
                <c:pt idx="17">
                  <c:v>85.991728436661262</c:v>
                </c:pt>
                <c:pt idx="18">
                  <c:v>96.979158932691703</c:v>
                </c:pt>
                <c:pt idx="19">
                  <c:v>107.93560770449947</c:v>
                </c:pt>
                <c:pt idx="20">
                  <c:v>118.86466834612668</c:v>
                </c:pt>
                <c:pt idx="21">
                  <c:v>98.303053659061547</c:v>
                </c:pt>
                <c:pt idx="22">
                  <c:v>109.82179441041167</c:v>
                </c:pt>
                <c:pt idx="23">
                  <c:v>121.31083206812384</c:v>
                </c:pt>
                <c:pt idx="24">
                  <c:v>132.77338012241873</c:v>
                </c:pt>
                <c:pt idx="25">
                  <c:v>144.21205048455988</c:v>
                </c:pt>
                <c:pt idx="26">
                  <c:v>155.44200777032023</c:v>
                </c:pt>
                <c:pt idx="27">
                  <c:v>166.65269031760437</c:v>
                </c:pt>
                <c:pt idx="28">
                  <c:v>177.84557863573085</c:v>
                </c:pt>
                <c:pt idx="29">
                  <c:v>189.02195139881817</c:v>
                </c:pt>
                <c:pt idx="30">
                  <c:v>200.1829235327601</c:v>
                </c:pt>
                <c:pt idx="31">
                  <c:v>166.8393804653775</c:v>
                </c:pt>
                <c:pt idx="32">
                  <c:v>177.2863363747648</c:v>
                </c:pt>
                <c:pt idx="33">
                  <c:v>187.71885487389383</c:v>
                </c:pt>
                <c:pt idx="34">
                  <c:v>198.13785215720915</c:v>
                </c:pt>
                <c:pt idx="35">
                  <c:v>208.54414007920562</c:v>
                </c:pt>
                <c:pt idx="36">
                  <c:v>218.56741652515191</c:v>
                </c:pt>
                <c:pt idx="37">
                  <c:v>228.58013248587315</c:v>
                </c:pt>
                <c:pt idx="38">
                  <c:v>238.58281615819627</c:v>
                </c:pt>
                <c:pt idx="39">
                  <c:v>248.57594779020619</c:v>
                </c:pt>
                <c:pt idx="40">
                  <c:v>258.55996582862014</c:v>
                </c:pt>
                <c:pt idx="41">
                  <c:v>221.34976230468507</c:v>
                </c:pt>
                <c:pt idx="42">
                  <c:v>230.43322328514708</c:v>
                </c:pt>
                <c:pt idx="43">
                  <c:v>239.50850040547391</c:v>
                </c:pt>
                <c:pt idx="44">
                  <c:v>248.57594779020619</c:v>
                </c:pt>
                <c:pt idx="45">
                  <c:v>257.63589159264615</c:v>
                </c:pt>
                <c:pt idx="46">
                  <c:v>266.13458534164994</c:v>
                </c:pt>
                <c:pt idx="47">
                  <c:v>274.62716340664088</c:v>
                </c:pt>
                <c:pt idx="48">
                  <c:v>283.11384176239767</c:v>
                </c:pt>
                <c:pt idx="49">
                  <c:v>291.59482236596199</c:v>
                </c:pt>
                <c:pt idx="50">
                  <c:v>300.07029445665904</c:v>
                </c:pt>
                <c:pt idx="51">
                  <c:v>263.91813349471556</c:v>
                </c:pt>
                <c:pt idx="52">
                  <c:v>272.04309993302689</c:v>
                </c:pt>
                <c:pt idx="53">
                  <c:v>280.16260989796962</c:v>
                </c:pt>
                <c:pt idx="54">
                  <c:v>288.27684398861334</c:v>
                </c:pt>
                <c:pt idx="55">
                  <c:v>296.38597179712855</c:v>
                </c:pt>
                <c:pt idx="56">
                  <c:v>303.9377490861047</c:v>
                </c:pt>
                <c:pt idx="57">
                  <c:v>311.48535316475278</c:v>
                </c:pt>
                <c:pt idx="58">
                  <c:v>319.0288995184381</c:v>
                </c:pt>
                <c:pt idx="59">
                  <c:v>326.56849772007598</c:v>
                </c:pt>
                <c:pt idx="60">
                  <c:v>334.10425186536281</c:v>
                </c:pt>
                <c:pt idx="61">
                  <c:v>299.51771063750357</c:v>
                </c:pt>
                <c:pt idx="62">
                  <c:v>306.33133805905351</c:v>
                </c:pt>
                <c:pt idx="63">
                  <c:v>313.14159727783806</c:v>
                </c:pt>
                <c:pt idx="64">
                  <c:v>319.94857196193698</c:v>
                </c:pt>
                <c:pt idx="65">
                  <c:v>326.752341924875</c:v>
                </c:pt>
                <c:pt idx="66">
                  <c:v>333.36922275846945</c:v>
                </c:pt>
                <c:pt idx="67">
                  <c:v>339.98320906401597</c:v>
                </c:pt>
                <c:pt idx="68">
                  <c:v>346.59436515417241</c:v>
                </c:pt>
                <c:pt idx="69">
                  <c:v>353.20275268539814</c:v>
                </c:pt>
                <c:pt idx="70">
                  <c:v>359.80843081641109</c:v>
                </c:pt>
                <c:pt idx="71">
                  <c:v>328.22301342486293</c:v>
                </c:pt>
                <c:pt idx="72">
                  <c:v>334.28800356949745</c:v>
                </c:pt>
                <c:pt idx="73">
                  <c:v>340.35056918220107</c:v>
                </c:pt>
                <c:pt idx="74">
                  <c:v>346.41075959292488</c:v>
                </c:pt>
                <c:pt idx="75">
                  <c:v>352.46862226287612</c:v>
                </c:pt>
                <c:pt idx="76">
                  <c:v>358.52420288693412</c:v>
                </c:pt>
                <c:pt idx="77">
                  <c:v>364.57754548877739</c:v>
                </c:pt>
                <c:pt idx="78">
                  <c:v>370.62869250935978</c:v>
                </c:pt>
                <c:pt idx="79">
                  <c:v>376.67768488930204</c:v>
                </c:pt>
                <c:pt idx="80">
                  <c:v>382.72456214571093</c:v>
                </c:pt>
                <c:pt idx="81">
                  <c:v>354.30388563085961</c:v>
                </c:pt>
                <c:pt idx="82">
                  <c:v>359.80843081641098</c:v>
                </c:pt>
                <c:pt idx="83">
                  <c:v>365.31113396264055</c:v>
                </c:pt>
                <c:pt idx="84">
                  <c:v>370.81202676268708</c:v>
                </c:pt>
                <c:pt idx="85">
                  <c:v>376.31113989160673</c:v>
                </c:pt>
                <c:pt idx="86">
                  <c:v>381.44206603793464</c:v>
                </c:pt>
                <c:pt idx="87">
                  <c:v>386.57149119930955</c:v>
                </c:pt>
                <c:pt idx="88">
                  <c:v>391.69943812459718</c:v>
                </c:pt>
                <c:pt idx="89">
                  <c:v>396.82592891778563</c:v>
                </c:pt>
                <c:pt idx="90">
                  <c:v>401.95098506454946</c:v>
                </c:pt>
                <c:pt idx="91">
                  <c:v>374.11170627828125</c:v>
                </c:pt>
                <c:pt idx="92">
                  <c:v>379.24328283355038</c:v>
                </c:pt>
                <c:pt idx="93">
                  <c:v>384.37334845003653</c:v>
                </c:pt>
                <c:pt idx="94">
                  <c:v>389.50192616148792</c:v>
                </c:pt>
                <c:pt idx="95">
                  <c:v>394.62903834492931</c:v>
                </c:pt>
                <c:pt idx="96">
                  <c:v>399.38863500257224</c:v>
                </c:pt>
                <c:pt idx="97">
                  <c:v>404.14700371925454</c:v>
                </c:pt>
                <c:pt idx="98">
                  <c:v>408.90416100839622</c:v>
                </c:pt>
                <c:pt idx="99">
                  <c:v>413.6601229674265</c:v>
                </c:pt>
                <c:pt idx="100">
                  <c:v>418.41490529303309</c:v>
                </c:pt>
                <c:pt idx="101">
                  <c:v>392.61498907746892</c:v>
                </c:pt>
                <c:pt idx="102">
                  <c:v>397.0089912151418</c:v>
                </c:pt>
                <c:pt idx="103">
                  <c:v>401.40193989208575</c:v>
                </c:pt>
                <c:pt idx="104">
                  <c:v>405.79384827767245</c:v>
                </c:pt>
                <c:pt idx="105">
                  <c:v>410.18472923262584</c:v>
                </c:pt>
                <c:pt idx="106">
                  <c:v>414.57459531955891</c:v>
                </c:pt>
                <c:pt idx="107">
                  <c:v>418.96345881303779</c:v>
                </c:pt>
                <c:pt idx="108">
                  <c:v>423.35133170920312</c:v>
                </c:pt>
                <c:pt idx="109">
                  <c:v>427.73822573497159</c:v>
                </c:pt>
                <c:pt idx="110">
                  <c:v>432.12415235683937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65888"/>
        <c:axId val="-777767520"/>
      </c:scatterChart>
      <c:valAx>
        <c:axId val="-77776588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7520"/>
        <c:crosses val="autoZero"/>
        <c:crossBetween val="midCat"/>
      </c:valAx>
      <c:valAx>
        <c:axId val="-77776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58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123.12415447878497</c:v>
                </c:pt>
                <c:pt idx="22">
                  <c:v>138.35696538228595</c:v>
                </c:pt>
                <c:pt idx="23">
                  <c:v>153.54945750312899</c:v>
                </c:pt>
                <c:pt idx="24">
                  <c:v>168.70618534384241</c:v>
                </c:pt>
                <c:pt idx="25">
                  <c:v>183.83081652024464</c:v>
                </c:pt>
                <c:pt idx="26">
                  <c:v>199.27709915885649</c:v>
                </c:pt>
                <c:pt idx="27">
                  <c:v>214.69562221588228</c:v>
                </c:pt>
                <c:pt idx="28">
                  <c:v>230.08866047092724</c:v>
                </c:pt>
                <c:pt idx="29">
                  <c:v>245.45815924548194</c:v>
                </c:pt>
                <c:pt idx="30">
                  <c:v>260.80580020638394</c:v>
                </c:pt>
                <c:pt idx="31">
                  <c:v>276.13305084516719</c:v>
                </c:pt>
                <c:pt idx="32">
                  <c:v>291.44120238295483</c:v>
                </c:pt>
                <c:pt idx="33">
                  <c:v>306.7313992866795</c:v>
                </c:pt>
                <c:pt idx="34">
                  <c:v>322.00466258727732</c:v>
                </c:pt>
                <c:pt idx="35">
                  <c:v>337.26190853958752</c:v>
                </c:pt>
                <c:pt idx="36">
                  <c:v>218.19620322489709</c:v>
                </c:pt>
                <c:pt idx="37">
                  <c:v>231.48683334645435</c:v>
                </c:pt>
                <c:pt idx="38">
                  <c:v>244.76003171038471</c:v>
                </c:pt>
                <c:pt idx="39">
                  <c:v>258.01687712472409</c:v>
                </c:pt>
                <c:pt idx="40">
                  <c:v>271.25832842500023</c:v>
                </c:pt>
                <c:pt idx="41">
                  <c:v>284.48524314677451</c:v>
                </c:pt>
                <c:pt idx="42">
                  <c:v>297.69839254073707</c:v>
                </c:pt>
                <c:pt idx="43">
                  <c:v>310.89847378061245</c:v>
                </c:pt>
                <c:pt idx="44">
                  <c:v>324.0861199880448</c:v>
                </c:pt>
                <c:pt idx="45">
                  <c:v>337.26190853958735</c:v>
                </c:pt>
                <c:pt idx="46">
                  <c:v>350.42636800716019</c:v>
                </c:pt>
                <c:pt idx="47">
                  <c:v>363.5799840007133</c:v>
                </c:pt>
                <c:pt idx="48">
                  <c:v>376.72320412097571</c:v>
                </c:pt>
                <c:pt idx="49">
                  <c:v>389.85644218478711</c:v>
                </c:pt>
                <c:pt idx="50">
                  <c:v>402.98008185125178</c:v>
                </c:pt>
                <c:pt idx="51">
                  <c:v>416.09447975082259</c:v>
                </c:pt>
                <c:pt idx="52">
                  <c:v>429.19996819929173</c:v>
                </c:pt>
                <c:pt idx="53">
                  <c:v>442.2968575630004</c:v>
                </c:pt>
                <c:pt idx="54">
                  <c:v>455.38543832930395</c:v>
                </c:pt>
                <c:pt idx="55">
                  <c:v>468.46598292660588</c:v>
                </c:pt>
                <c:pt idx="56">
                  <c:v>481.19482482996779</c:v>
                </c:pt>
                <c:pt idx="57">
                  <c:v>493.91651328433619</c:v>
                </c:pt>
                <c:pt idx="58">
                  <c:v>506.63125847667106</c:v>
                </c:pt>
                <c:pt idx="59">
                  <c:v>519.33925918522516</c:v>
                </c:pt>
                <c:pt idx="60">
                  <c:v>532.04070366867973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72416"/>
        <c:axId val="-777771872"/>
      </c:scatterChart>
      <c:valAx>
        <c:axId val="-777772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1872"/>
        <c:crosses val="autoZero"/>
        <c:crossBetween val="midCat"/>
      </c:valAx>
      <c:valAx>
        <c:axId val="-77777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2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70784"/>
        <c:axId val="-777771328"/>
      </c:scatterChart>
      <c:valAx>
        <c:axId val="-7777707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1328"/>
        <c:crosses val="autoZero"/>
        <c:crossBetween val="midCat"/>
      </c:valAx>
      <c:valAx>
        <c:axId val="-777771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07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777770240"/>
        <c:axId val="-777769696"/>
      </c:scatterChart>
      <c:valAx>
        <c:axId val="-77777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69696"/>
        <c:crosses val="autoZero"/>
        <c:crossBetween val="midCat"/>
      </c:valAx>
      <c:valAx>
        <c:axId val="-777769696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77777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56" zoomScale="70" zoomScaleNormal="70" workbookViewId="0">
      <selection activeCell="F176" sqref="F176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1.87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25</v>
      </c>
      <c r="C9" s="35">
        <v>0.17899999999999999</v>
      </c>
      <c r="D9" s="36">
        <f t="shared" ref="D9:D18" si="0">C9*$C$5</f>
        <v>0.33473000000000003</v>
      </c>
      <c r="E9" s="37">
        <v>99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23</v>
      </c>
      <c r="C10" s="35">
        <v>0.17899999999999999</v>
      </c>
      <c r="D10" s="36">
        <f t="shared" si="0"/>
        <v>0.33473000000000003</v>
      </c>
      <c r="E10" s="37">
        <v>80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29</v>
      </c>
      <c r="C11" s="35">
        <v>7.4999999999999997E-2</v>
      </c>
      <c r="D11" s="36">
        <f t="shared" si="0"/>
        <v>0.14025000000000001</v>
      </c>
      <c r="E11" s="37">
        <v>69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22</v>
      </c>
      <c r="C12" s="35">
        <v>7.4999999999999997E-2</v>
      </c>
      <c r="D12" s="36">
        <f t="shared" si="0"/>
        <v>0.14025000000000001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6</v>
      </c>
      <c r="C13" s="35">
        <v>0.16400000000000001</v>
      </c>
      <c r="D13" s="36">
        <f t="shared" si="0"/>
        <v>0.30668000000000001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50</v>
      </c>
      <c r="C14" s="35">
        <v>0.16400000000000001</v>
      </c>
      <c r="D14" s="36">
        <f t="shared" si="0"/>
        <v>0.30668000000000001</v>
      </c>
      <c r="E14" s="37">
        <v>110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</v>
      </c>
      <c r="C15" s="35">
        <v>0.16400000000000001</v>
      </c>
      <c r="D15" s="36">
        <f t="shared" si="0"/>
        <v>0.30668000000000001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1.87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Hêtre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15</v>
      </c>
      <c r="B36" s="63">
        <v>3</v>
      </c>
      <c r="C36" s="63"/>
      <c r="D36" s="63"/>
      <c r="E36" s="54"/>
      <c r="F36" s="54"/>
      <c r="G36" s="54"/>
      <c r="H36" s="54"/>
      <c r="I36" s="52">
        <f>IFERROR(B36/A36,"")</f>
        <v>0.2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21</v>
      </c>
      <c r="B37" s="63">
        <v>16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2.1666666666666665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27</v>
      </c>
      <c r="B38" s="63">
        <v>77</v>
      </c>
      <c r="C38" s="63">
        <v>1</v>
      </c>
      <c r="D38" s="63">
        <v>12</v>
      </c>
      <c r="E38" s="54"/>
      <c r="F38" s="54"/>
      <c r="G38" s="54"/>
      <c r="H38" s="54">
        <v>1</v>
      </c>
      <c r="I38" s="56">
        <f t="shared" si="1"/>
        <v>10.166666666666666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30</v>
      </c>
      <c r="B39" s="63">
        <v>102</v>
      </c>
      <c r="C39" s="63">
        <v>2</v>
      </c>
      <c r="D39" s="63">
        <v>13</v>
      </c>
      <c r="E39" s="54"/>
      <c r="F39" s="54"/>
      <c r="G39" s="54"/>
      <c r="H39" s="54">
        <v>1</v>
      </c>
      <c r="I39" s="52">
        <f t="shared" si="1"/>
        <v>12.333333333333334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36</v>
      </c>
      <c r="B40" s="63">
        <v>174</v>
      </c>
      <c r="C40" s="63">
        <v>3</v>
      </c>
      <c r="D40" s="63">
        <v>60</v>
      </c>
      <c r="E40" s="54"/>
      <c r="F40" s="54"/>
      <c r="G40" s="54"/>
      <c r="H40" s="54"/>
      <c r="I40" s="52">
        <f t="shared" si="1"/>
        <v>14.166666666666666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42</v>
      </c>
      <c r="B41" s="63">
        <v>205</v>
      </c>
      <c r="C41" s="63">
        <v>4</v>
      </c>
      <c r="D41" s="63">
        <v>59</v>
      </c>
      <c r="E41" s="54"/>
      <c r="F41" s="54"/>
      <c r="G41" s="54"/>
      <c r="H41" s="54"/>
      <c r="I41" s="56">
        <f t="shared" si="1"/>
        <v>15.166666666666666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48</v>
      </c>
      <c r="B42" s="63">
        <v>240</v>
      </c>
      <c r="C42" s="63">
        <v>5</v>
      </c>
      <c r="D42" s="63">
        <v>63</v>
      </c>
      <c r="E42" s="54"/>
      <c r="F42" s="54"/>
      <c r="G42" s="54"/>
      <c r="H42" s="54"/>
      <c r="I42" s="56">
        <f t="shared" si="1"/>
        <v>15.666666666666666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53">
        <v>54</v>
      </c>
      <c r="B43" s="63">
        <v>270</v>
      </c>
      <c r="C43" s="63">
        <v>6</v>
      </c>
      <c r="D43" s="63">
        <v>64</v>
      </c>
      <c r="E43" s="54"/>
      <c r="F43" s="54"/>
      <c r="G43" s="54"/>
      <c r="H43" s="54"/>
      <c r="I43" s="52">
        <f t="shared" si="1"/>
        <v>15.5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53">
        <v>60</v>
      </c>
      <c r="B44" s="63">
        <v>295</v>
      </c>
      <c r="C44" s="63">
        <v>7</v>
      </c>
      <c r="D44" s="63">
        <v>61</v>
      </c>
      <c r="E44" s="54"/>
      <c r="F44" s="54"/>
      <c r="G44" s="54"/>
      <c r="H44" s="54"/>
      <c r="I44" s="52">
        <f t="shared" si="1"/>
        <v>14.833333333333334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53">
        <v>69</v>
      </c>
      <c r="B45" s="63">
        <v>358</v>
      </c>
      <c r="C45" s="63">
        <v>8</v>
      </c>
      <c r="D45" s="63">
        <v>84</v>
      </c>
      <c r="E45" s="54"/>
      <c r="F45" s="54"/>
      <c r="G45" s="54"/>
      <c r="H45" s="54"/>
      <c r="I45" s="52">
        <f t="shared" si="1"/>
        <v>13.777777777777779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53">
        <v>78</v>
      </c>
      <c r="B46" s="63">
        <v>387</v>
      </c>
      <c r="C46" s="63">
        <v>9</v>
      </c>
      <c r="D46" s="63">
        <v>39</v>
      </c>
      <c r="E46" s="54"/>
      <c r="F46" s="54"/>
      <c r="G46" s="54"/>
      <c r="H46" s="54"/>
      <c r="I46" s="52">
        <f t="shared" si="1"/>
        <v>12.555555555555555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53">
        <v>84</v>
      </c>
      <c r="B47" s="63">
        <v>420</v>
      </c>
      <c r="C47" s="63"/>
      <c r="D47" s="63"/>
      <c r="E47" s="54"/>
      <c r="F47" s="54"/>
      <c r="G47" s="54"/>
      <c r="H47" s="54"/>
      <c r="I47" s="52">
        <f t="shared" si="1"/>
        <v>12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53">
        <v>90</v>
      </c>
      <c r="B48" s="63">
        <v>489</v>
      </c>
      <c r="C48" s="63"/>
      <c r="D48" s="63"/>
      <c r="E48" s="54"/>
      <c r="F48" s="54"/>
      <c r="G48" s="54"/>
      <c r="H48" s="54"/>
      <c r="I48" s="52">
        <f t="shared" si="1"/>
        <v>11.5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53">
        <v>96</v>
      </c>
      <c r="B49" s="63">
        <v>557</v>
      </c>
      <c r="C49" s="63"/>
      <c r="D49" s="63"/>
      <c r="E49" s="54"/>
      <c r="F49" s="54"/>
      <c r="G49" s="54"/>
      <c r="H49" s="54"/>
      <c r="I49" s="52">
        <f t="shared" si="1"/>
        <v>11.333333333333334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99</v>
      </c>
      <c r="B50" s="53">
        <v>591</v>
      </c>
      <c r="C50" s="53">
        <v>10</v>
      </c>
      <c r="D50" s="53">
        <f>B50</f>
        <v>591</v>
      </c>
      <c r="E50" s="54"/>
      <c r="F50" s="54"/>
      <c r="G50" s="54"/>
      <c r="H50" s="54"/>
      <c r="I50" s="52">
        <f t="shared" si="1"/>
        <v>11.333333333333334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5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5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Erable sycomore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10</v>
      </c>
      <c r="B62" s="63">
        <v>19</v>
      </c>
      <c r="C62" s="63"/>
      <c r="D62" s="63"/>
      <c r="E62" s="54"/>
      <c r="F62" s="54"/>
      <c r="G62" s="54"/>
      <c r="H62" s="54"/>
      <c r="I62" s="56">
        <f>IFERROR(B62/A62,"")</f>
        <v>1.9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15</v>
      </c>
      <c r="B63" s="63">
        <f>85+7</f>
        <v>92</v>
      </c>
      <c r="C63" s="63"/>
      <c r="D63" s="63"/>
      <c r="E63" s="54"/>
      <c r="F63" s="54"/>
      <c r="G63" s="54"/>
      <c r="H63" s="54"/>
      <c r="I63" s="52">
        <f>IF(A63&lt;&gt;0,(B63-(B62-D62))/(A63-A62),"")</f>
        <v>14.6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20</v>
      </c>
      <c r="B64" s="63">
        <f>123+7+42</f>
        <v>172</v>
      </c>
      <c r="C64" s="63">
        <v>1</v>
      </c>
      <c r="D64" s="63">
        <f>7+42+42</f>
        <v>91</v>
      </c>
      <c r="E64" s="54"/>
      <c r="F64" s="54"/>
      <c r="G64" s="54"/>
      <c r="H64" s="54">
        <v>1</v>
      </c>
      <c r="I64" s="52">
        <f>IF(A64&lt;&gt;0,(B64-(B63-D63))/(A64-A63),"")</f>
        <v>16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25</v>
      </c>
      <c r="B65" s="63">
        <v>165</v>
      </c>
      <c r="C65" s="63"/>
      <c r="D65" s="63"/>
      <c r="E65" s="54"/>
      <c r="F65" s="54"/>
      <c r="G65" s="54"/>
      <c r="H65" s="54"/>
      <c r="I65" s="52">
        <f>IF(A65&lt;&gt;0,(B65-(B64-D64))/(A65-A64),"")</f>
        <v>16.8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30</v>
      </c>
      <c r="B66" s="63">
        <f>205+42</f>
        <v>247</v>
      </c>
      <c r="C66" s="63">
        <v>2</v>
      </c>
      <c r="D66" s="63">
        <f>42+42</f>
        <v>84</v>
      </c>
      <c r="E66" s="54"/>
      <c r="F66" s="54"/>
      <c r="G66" s="54"/>
      <c r="H66" s="54">
        <v>1</v>
      </c>
      <c r="I66" s="52">
        <f t="shared" ref="I66:I81" si="2">IF(A66&lt;&gt;0,(B66-(B65-D65))/(A66-A65),"")</f>
        <v>16.399999999999999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35</v>
      </c>
      <c r="B67" s="63">
        <v>239</v>
      </c>
      <c r="C67" s="63"/>
      <c r="D67" s="63"/>
      <c r="E67" s="54"/>
      <c r="F67" s="54"/>
      <c r="G67" s="54"/>
      <c r="H67" s="54"/>
      <c r="I67" s="52">
        <f t="shared" si="2"/>
        <v>15.2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40</v>
      </c>
      <c r="B68" s="63">
        <f>263+42</f>
        <v>305</v>
      </c>
      <c r="C68" s="63">
        <v>3</v>
      </c>
      <c r="D68" s="63">
        <f>40+42</f>
        <v>82</v>
      </c>
      <c r="E68" s="54"/>
      <c r="F68" s="54"/>
      <c r="G68" s="54"/>
      <c r="H68" s="54"/>
      <c r="I68" s="52">
        <f t="shared" si="2"/>
        <v>13.2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45</v>
      </c>
      <c r="B69" s="53">
        <v>280</v>
      </c>
      <c r="C69" s="53"/>
      <c r="D69" s="53"/>
      <c r="E69" s="54"/>
      <c r="F69" s="54"/>
      <c r="G69" s="54"/>
      <c r="H69" s="54"/>
      <c r="I69" s="52">
        <f t="shared" si="2"/>
        <v>11.4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50</v>
      </c>
      <c r="B70" s="53">
        <f>303+26</f>
        <v>329</v>
      </c>
      <c r="C70" s="53">
        <v>4</v>
      </c>
      <c r="D70" s="53">
        <v>47</v>
      </c>
      <c r="E70" s="54"/>
      <c r="F70" s="54"/>
      <c r="G70" s="54"/>
      <c r="H70" s="54"/>
      <c r="I70" s="52">
        <f t="shared" si="2"/>
        <v>9.8000000000000007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55</v>
      </c>
      <c r="B71" s="53">
        <v>324</v>
      </c>
      <c r="C71" s="53"/>
      <c r="D71" s="53"/>
      <c r="E71" s="54"/>
      <c r="F71" s="54"/>
      <c r="G71" s="54"/>
      <c r="H71" s="54"/>
      <c r="I71" s="52">
        <f t="shared" si="2"/>
        <v>8.4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60</v>
      </c>
      <c r="B72" s="53">
        <f>342+18</f>
        <v>360</v>
      </c>
      <c r="C72" s="53">
        <v>5</v>
      </c>
      <c r="D72" s="53">
        <f>17+18</f>
        <v>35</v>
      </c>
      <c r="E72" s="54"/>
      <c r="F72" s="54"/>
      <c r="G72" s="54"/>
      <c r="H72" s="54"/>
      <c r="I72" s="52">
        <f t="shared" si="2"/>
        <v>7.2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65</v>
      </c>
      <c r="B73" s="53">
        <v>356</v>
      </c>
      <c r="C73" s="53"/>
      <c r="D73" s="5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70</v>
      </c>
      <c r="B74" s="53">
        <f>366+16</f>
        <v>382</v>
      </c>
      <c r="C74" s="53">
        <v>6</v>
      </c>
      <c r="D74" s="53">
        <f>15+16</f>
        <v>31</v>
      </c>
      <c r="E74" s="54"/>
      <c r="F74" s="54"/>
      <c r="G74" s="54"/>
      <c r="H74" s="54"/>
      <c r="I74" s="52">
        <f t="shared" si="2"/>
        <v>5.2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75</v>
      </c>
      <c r="B75" s="53">
        <v>375</v>
      </c>
      <c r="C75" s="53"/>
      <c r="D75" s="53"/>
      <c r="E75" s="54"/>
      <c r="F75" s="54"/>
      <c r="G75" s="54"/>
      <c r="H75" s="54"/>
      <c r="I75" s="52">
        <f t="shared" si="2"/>
        <v>4.8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80</v>
      </c>
      <c r="B76" s="53">
        <f>382+14</f>
        <v>396</v>
      </c>
      <c r="C76" s="53">
        <v>7</v>
      </c>
      <c r="D76" s="53">
        <f>B76</f>
        <v>396</v>
      </c>
      <c r="E76" s="54"/>
      <c r="F76" s="54"/>
      <c r="G76" s="54"/>
      <c r="H76" s="54"/>
      <c r="I76" s="52">
        <f t="shared" si="2"/>
        <v>4.2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Merisier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15</v>
      </c>
      <c r="B88" s="63">
        <v>40</v>
      </c>
      <c r="C88" s="63"/>
      <c r="D88" s="63"/>
      <c r="E88" s="54"/>
      <c r="F88" s="54"/>
      <c r="G88" s="54"/>
      <c r="H88" s="93"/>
      <c r="I88" s="56">
        <f>IFERROR(B88/A88,"")</f>
        <v>2.6666666666666665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20</v>
      </c>
      <c r="B89" s="63">
        <v>85</v>
      </c>
      <c r="C89" s="63">
        <v>1</v>
      </c>
      <c r="D89" s="63">
        <v>28</v>
      </c>
      <c r="E89" s="54"/>
      <c r="F89" s="54"/>
      <c r="G89" s="54"/>
      <c r="H89" s="93">
        <v>1</v>
      </c>
      <c r="I89" s="56">
        <f t="shared" ref="I89:I98" si="3">IF(A89&lt;&gt;0,(B89-(B88-D88))/(A89-A88),"")</f>
        <v>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25</v>
      </c>
      <c r="B90" s="63">
        <v>113</v>
      </c>
      <c r="C90" s="63">
        <v>2</v>
      </c>
      <c r="D90" s="63">
        <v>27</v>
      </c>
      <c r="E90" s="93"/>
      <c r="F90" s="93"/>
      <c r="G90" s="93"/>
      <c r="H90" s="93">
        <v>1</v>
      </c>
      <c r="I90" s="56">
        <f t="shared" si="3"/>
        <v>11.2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31</v>
      </c>
      <c r="B91" s="63">
        <v>155</v>
      </c>
      <c r="C91" s="63"/>
      <c r="D91" s="63"/>
      <c r="E91" s="93"/>
      <c r="F91" s="93"/>
      <c r="G91" s="93"/>
      <c r="H91" s="93"/>
      <c r="I91" s="56">
        <f t="shared" si="3"/>
        <v>11.5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>
        <v>37</v>
      </c>
      <c r="B92" s="63">
        <f>188+36</f>
        <v>224</v>
      </c>
      <c r="C92" s="63">
        <v>3</v>
      </c>
      <c r="D92" s="63">
        <f>36+36</f>
        <v>72</v>
      </c>
      <c r="E92" s="93"/>
      <c r="F92" s="93"/>
      <c r="G92" s="93"/>
      <c r="H92" s="93"/>
      <c r="I92" s="56">
        <f t="shared" si="3"/>
        <v>11.5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>
        <v>44</v>
      </c>
      <c r="B93" s="63">
        <v>230</v>
      </c>
      <c r="C93" s="63"/>
      <c r="D93" s="63"/>
      <c r="E93" s="93"/>
      <c r="F93" s="93"/>
      <c r="G93" s="93"/>
      <c r="H93" s="93"/>
      <c r="I93" s="56">
        <f t="shared" si="3"/>
        <v>11.142857142857142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63">
        <v>52</v>
      </c>
      <c r="B94" s="63">
        <f>270+43</f>
        <v>313</v>
      </c>
      <c r="C94" s="63">
        <v>4</v>
      </c>
      <c r="D94" s="63">
        <f>43+48</f>
        <v>91</v>
      </c>
      <c r="E94" s="93"/>
      <c r="F94" s="93"/>
      <c r="G94" s="93"/>
      <c r="H94" s="93"/>
      <c r="I94" s="56">
        <f t="shared" si="3"/>
        <v>10.375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>
        <v>60</v>
      </c>
      <c r="B95" s="63">
        <v>297</v>
      </c>
      <c r="C95" s="63"/>
      <c r="D95" s="63"/>
      <c r="E95" s="93"/>
      <c r="F95" s="93"/>
      <c r="G95" s="93"/>
      <c r="H95" s="93"/>
      <c r="I95" s="56">
        <f t="shared" si="3"/>
        <v>9.375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>
        <v>69</v>
      </c>
      <c r="B96" s="63">
        <f>328+47</f>
        <v>375</v>
      </c>
      <c r="C96" s="63">
        <v>5</v>
      </c>
      <c r="D96" s="63">
        <f>B96</f>
        <v>375</v>
      </c>
      <c r="E96" s="93"/>
      <c r="F96" s="93"/>
      <c r="G96" s="93"/>
      <c r="H96" s="93"/>
      <c r="I96" s="56">
        <f t="shared" si="3"/>
        <v>8.6666666666666661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ref="I99:I107" si="4">IF(A99&lt;&gt;0,(B99-(B98-D98))/(A99-A98),"")</f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4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4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4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4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4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4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4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4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Erable plane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10</v>
      </c>
      <c r="B114" s="63">
        <v>11</v>
      </c>
      <c r="C114" s="53"/>
      <c r="D114" s="63"/>
      <c r="E114" s="54"/>
      <c r="F114" s="54"/>
      <c r="G114" s="54"/>
      <c r="H114" s="54"/>
      <c r="I114" s="56">
        <f>IFERROR(B114/A114,"")</f>
        <v>1.1000000000000001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15</v>
      </c>
      <c r="B115" s="63">
        <v>65</v>
      </c>
      <c r="C115" s="53"/>
      <c r="D115" s="63"/>
      <c r="E115" s="54"/>
      <c r="F115" s="54"/>
      <c r="G115" s="54"/>
      <c r="H115" s="54"/>
      <c r="I115" s="56">
        <f t="shared" ref="I115:I133" si="5">IF(A115&lt;&gt;0,(B115-(B114-D114))/(A115-A114),"")</f>
        <v>10.8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20</v>
      </c>
      <c r="B116" s="63">
        <f>102+32</f>
        <v>134</v>
      </c>
      <c r="C116" s="53">
        <v>1</v>
      </c>
      <c r="D116" s="63">
        <f>35+32</f>
        <v>67</v>
      </c>
      <c r="E116" s="54"/>
      <c r="F116" s="54"/>
      <c r="G116" s="54"/>
      <c r="H116" s="54">
        <v>1</v>
      </c>
      <c r="I116" s="56">
        <f t="shared" si="5"/>
        <v>13.8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25</v>
      </c>
      <c r="B117" s="63">
        <v>141</v>
      </c>
      <c r="C117" s="53"/>
      <c r="D117" s="63"/>
      <c r="E117" s="54"/>
      <c r="F117" s="54"/>
      <c r="G117" s="54"/>
      <c r="H117" s="54"/>
      <c r="I117" s="56">
        <f t="shared" si="5"/>
        <v>14.8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30</v>
      </c>
      <c r="B118" s="63">
        <f>177+35</f>
        <v>212</v>
      </c>
      <c r="C118" s="53">
        <v>2</v>
      </c>
      <c r="D118" s="63">
        <f>35+35</f>
        <v>70</v>
      </c>
      <c r="E118" s="54"/>
      <c r="F118" s="54"/>
      <c r="G118" s="54"/>
      <c r="H118" s="54">
        <v>1</v>
      </c>
      <c r="I118" s="56">
        <f t="shared" si="5"/>
        <v>14.2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35</v>
      </c>
      <c r="B119" s="63">
        <v>206</v>
      </c>
      <c r="C119" s="53"/>
      <c r="D119" s="63"/>
      <c r="E119" s="54"/>
      <c r="F119" s="54"/>
      <c r="G119" s="54"/>
      <c r="H119" s="54"/>
      <c r="I119" s="56">
        <f t="shared" si="5"/>
        <v>12.8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53">
        <v>40</v>
      </c>
      <c r="B120" s="63">
        <f>228+35</f>
        <v>263</v>
      </c>
      <c r="C120" s="63">
        <v>3</v>
      </c>
      <c r="D120" s="63">
        <f>35+35</f>
        <v>70</v>
      </c>
      <c r="E120" s="93"/>
      <c r="F120" s="93"/>
      <c r="G120" s="93"/>
      <c r="H120" s="93"/>
      <c r="I120" s="56">
        <f t="shared" si="5"/>
        <v>11.4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53">
        <v>45</v>
      </c>
      <c r="B121" s="63">
        <v>242</v>
      </c>
      <c r="C121" s="63"/>
      <c r="D121" s="63"/>
      <c r="E121" s="93"/>
      <c r="F121" s="93"/>
      <c r="G121" s="93"/>
      <c r="H121" s="93"/>
      <c r="I121" s="56">
        <f t="shared" si="5"/>
        <v>9.8000000000000007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53">
        <v>50</v>
      </c>
      <c r="B122" s="63">
        <f>261+24</f>
        <v>285</v>
      </c>
      <c r="C122" s="63">
        <v>4</v>
      </c>
      <c r="D122" s="63">
        <f>19+24</f>
        <v>43</v>
      </c>
      <c r="E122" s="93"/>
      <c r="F122" s="93"/>
      <c r="G122" s="93"/>
      <c r="H122" s="93"/>
      <c r="I122" s="56">
        <f t="shared" si="5"/>
        <v>8.6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53">
        <v>55</v>
      </c>
      <c r="B123" s="63">
        <v>279</v>
      </c>
      <c r="C123" s="63"/>
      <c r="D123" s="63"/>
      <c r="E123" s="93"/>
      <c r="F123" s="93"/>
      <c r="G123" s="93"/>
      <c r="H123" s="93"/>
      <c r="I123" s="56">
        <f t="shared" si="5"/>
        <v>7.4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53">
        <v>60</v>
      </c>
      <c r="B124" s="63">
        <f>294+16</f>
        <v>310</v>
      </c>
      <c r="C124" s="63">
        <v>5</v>
      </c>
      <c r="D124" s="63">
        <f>16+14</f>
        <v>30</v>
      </c>
      <c r="E124" s="93"/>
      <c r="F124" s="93"/>
      <c r="G124" s="93"/>
      <c r="H124" s="93"/>
      <c r="I124" s="56">
        <f t="shared" si="5"/>
        <v>6.2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53">
        <v>65</v>
      </c>
      <c r="B125" s="63">
        <v>306</v>
      </c>
      <c r="C125" s="63"/>
      <c r="D125" s="63"/>
      <c r="E125" s="93"/>
      <c r="F125" s="93"/>
      <c r="G125" s="93"/>
      <c r="H125" s="93"/>
      <c r="I125" s="56">
        <f t="shared" si="5"/>
        <v>5.2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53">
        <v>70</v>
      </c>
      <c r="B126" s="63">
        <f>315+13</f>
        <v>328</v>
      </c>
      <c r="C126" s="63">
        <v>6</v>
      </c>
      <c r="D126" s="63">
        <f>13+13</f>
        <v>26</v>
      </c>
      <c r="E126" s="68"/>
      <c r="F126" s="68"/>
      <c r="G126" s="68"/>
      <c r="H126" s="68"/>
      <c r="I126" s="56">
        <f t="shared" si="5"/>
        <v>4.4000000000000004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53">
        <v>75</v>
      </c>
      <c r="B127" s="63">
        <v>324</v>
      </c>
      <c r="C127" s="63"/>
      <c r="D127" s="63"/>
      <c r="E127" s="68"/>
      <c r="F127" s="68"/>
      <c r="G127" s="68"/>
      <c r="H127" s="68"/>
      <c r="I127" s="56">
        <f t="shared" si="5"/>
        <v>4.4000000000000004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>
        <v>80</v>
      </c>
      <c r="B128" s="53">
        <f>330+12</f>
        <v>342</v>
      </c>
      <c r="C128" s="53">
        <v>7</v>
      </c>
      <c r="D128" s="53">
        <f>B128</f>
        <v>342</v>
      </c>
      <c r="E128" s="57"/>
      <c r="F128" s="57"/>
      <c r="G128" s="57"/>
      <c r="H128" s="57"/>
      <c r="I128" s="56">
        <f t="shared" si="5"/>
        <v>3.6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5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5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5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5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Charme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15</v>
      </c>
      <c r="B140" s="63">
        <f>53/1.56</f>
        <v>33.974358974358971</v>
      </c>
      <c r="C140" s="53"/>
      <c r="D140" s="63"/>
      <c r="E140" s="54"/>
      <c r="F140" s="54"/>
      <c r="G140" s="54"/>
      <c r="H140" s="54"/>
      <c r="I140" s="60">
        <f>IFERROR(B140/A140,"")</f>
        <v>2.2649572649572649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20</v>
      </c>
      <c r="B141" s="63">
        <f>(89+10)/1.56</f>
        <v>63.46153846153846</v>
      </c>
      <c r="C141" s="53">
        <v>1</v>
      </c>
      <c r="D141" s="63">
        <f>(10+14)/1.56</f>
        <v>15.384615384615383</v>
      </c>
      <c r="E141" s="54"/>
      <c r="F141" s="54"/>
      <c r="G141" s="54"/>
      <c r="H141" s="54">
        <v>1</v>
      </c>
      <c r="I141" s="60">
        <f t="shared" ref="I141:I159" si="6">IF(A141&lt;&gt;0,(B141-(B140-D140))/(A141-A140),"")</f>
        <v>5.8974358974358978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25</v>
      </c>
      <c r="B142" s="63">
        <f>123/1.56</f>
        <v>78.84615384615384</v>
      </c>
      <c r="C142" s="53"/>
      <c r="D142" s="63"/>
      <c r="E142" s="54"/>
      <c r="F142" s="54"/>
      <c r="G142" s="54"/>
      <c r="H142" s="54"/>
      <c r="I142" s="60">
        <f t="shared" si="6"/>
        <v>6.1538461538461515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30</v>
      </c>
      <c r="B143" s="63">
        <f>(154+18)/1.56</f>
        <v>110.25641025641025</v>
      </c>
      <c r="C143" s="53">
        <v>2</v>
      </c>
      <c r="D143" s="63">
        <f>(20+18)/1.56</f>
        <v>24.358974358974358</v>
      </c>
      <c r="E143" s="54"/>
      <c r="F143" s="54"/>
      <c r="G143" s="54"/>
      <c r="H143" s="54">
        <v>1</v>
      </c>
      <c r="I143" s="60">
        <f t="shared" si="6"/>
        <v>6.2820512820512819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35</v>
      </c>
      <c r="B144" s="63">
        <f>182/1.56</f>
        <v>116.66666666666666</v>
      </c>
      <c r="C144" s="53"/>
      <c r="D144" s="63"/>
      <c r="E144" s="54"/>
      <c r="F144" s="54"/>
      <c r="G144" s="54"/>
      <c r="H144" s="54"/>
      <c r="I144" s="60">
        <f t="shared" si="6"/>
        <v>6.1538461538461551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40</v>
      </c>
      <c r="B145" s="63">
        <f>(206+21)/1.56</f>
        <v>145.5128205128205</v>
      </c>
      <c r="C145" s="53">
        <v>3</v>
      </c>
      <c r="D145" s="63">
        <f>(22+21)/1.56</f>
        <v>27.564102564102562</v>
      </c>
      <c r="E145" s="54"/>
      <c r="F145" s="54"/>
      <c r="G145" s="54"/>
      <c r="H145" s="54"/>
      <c r="I145" s="60">
        <f t="shared" si="6"/>
        <v>5.7692307692307683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>
        <v>45</v>
      </c>
      <c r="B146" s="63">
        <f>228/1.56</f>
        <v>146.15384615384616</v>
      </c>
      <c r="C146" s="53"/>
      <c r="D146" s="63"/>
      <c r="E146" s="54"/>
      <c r="F146" s="54"/>
      <c r="G146" s="54"/>
      <c r="H146" s="54"/>
      <c r="I146" s="60">
        <f t="shared" si="6"/>
        <v>5.6410256410256467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>
        <v>50</v>
      </c>
      <c r="B147" s="63">
        <f>(247+22)/1.56</f>
        <v>172.43589743589743</v>
      </c>
      <c r="C147" s="53">
        <v>4</v>
      </c>
      <c r="D147" s="63">
        <f>(22+22)/1.56</f>
        <v>28.205128205128204</v>
      </c>
      <c r="E147" s="54"/>
      <c r="F147" s="54"/>
      <c r="G147" s="54"/>
      <c r="H147" s="54"/>
      <c r="I147" s="60">
        <f>IF(A147&lt;&gt;0,(B147-(B146-D146))/(A147-A146),"")</f>
        <v>5.2564102564102537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>
        <v>55</v>
      </c>
      <c r="B148" s="63">
        <f>263/1.56</f>
        <v>168.58974358974359</v>
      </c>
      <c r="C148" s="53"/>
      <c r="D148" s="63"/>
      <c r="E148" s="54"/>
      <c r="F148" s="54"/>
      <c r="G148" s="54"/>
      <c r="H148" s="54"/>
      <c r="I148" s="60">
        <f t="shared" si="6"/>
        <v>4.8717948717948731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>
        <v>60</v>
      </c>
      <c r="B149" s="63">
        <f>(278+22)/1.56</f>
        <v>192.30769230769229</v>
      </c>
      <c r="C149" s="53">
        <v>5</v>
      </c>
      <c r="D149" s="63">
        <f>44/1.56</f>
        <v>28.205128205128204</v>
      </c>
      <c r="E149" s="54"/>
      <c r="F149" s="54"/>
      <c r="G149" s="54"/>
      <c r="H149" s="54"/>
      <c r="I149" s="60">
        <f t="shared" si="6"/>
        <v>4.7435897435897401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>
        <v>65</v>
      </c>
      <c r="B150" s="63">
        <f>291/1.56</f>
        <v>186.53846153846152</v>
      </c>
      <c r="C150" s="53"/>
      <c r="D150" s="63"/>
      <c r="E150" s="54"/>
      <c r="F150" s="54"/>
      <c r="G150" s="54"/>
      <c r="H150" s="54"/>
      <c r="I150" s="60">
        <f t="shared" si="6"/>
        <v>4.4871794871794863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>
        <v>70</v>
      </c>
      <c r="B151" s="63">
        <f>(303+22)/1.56</f>
        <v>208.33333333333331</v>
      </c>
      <c r="C151" s="53">
        <v>6</v>
      </c>
      <c r="D151" s="63">
        <f>43/1.56</f>
        <v>27.564102564102562</v>
      </c>
      <c r="E151" s="54"/>
      <c r="F151" s="54"/>
      <c r="G151" s="54"/>
      <c r="H151" s="54"/>
      <c r="I151" s="60">
        <f t="shared" si="6"/>
        <v>4.3589743589743595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>
        <v>75</v>
      </c>
      <c r="B152" s="63">
        <f>313/1.56</f>
        <v>200.64102564102564</v>
      </c>
      <c r="C152" s="53"/>
      <c r="D152" s="63"/>
      <c r="E152" s="57"/>
      <c r="F152" s="57"/>
      <c r="G152" s="57"/>
      <c r="H152" s="57"/>
      <c r="I152" s="60">
        <f t="shared" si="6"/>
        <v>3.974358974358978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>
        <v>80</v>
      </c>
      <c r="B153" s="63">
        <f>(322+21)/1.56</f>
        <v>219.87179487179486</v>
      </c>
      <c r="C153" s="53">
        <v>7</v>
      </c>
      <c r="D153" s="63">
        <f>41/1.56</f>
        <v>26.282051282051281</v>
      </c>
      <c r="E153" s="57"/>
      <c r="F153" s="57"/>
      <c r="G153" s="57"/>
      <c r="H153" s="57"/>
      <c r="I153" s="60">
        <f t="shared" si="6"/>
        <v>3.8461538461538454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3">
        <v>85</v>
      </c>
      <c r="B154" s="59">
        <f>331/1.56</f>
        <v>212.17948717948718</v>
      </c>
      <c r="C154" s="53"/>
      <c r="D154" s="53"/>
      <c r="E154" s="57"/>
      <c r="F154" s="57"/>
      <c r="G154" s="57"/>
      <c r="H154" s="57"/>
      <c r="I154" s="60">
        <f t="shared" si="6"/>
        <v>3.7179487179487181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3">
        <v>90</v>
      </c>
      <c r="B155" s="59">
        <f>(339+20)/1.56</f>
        <v>230.12820512820511</v>
      </c>
      <c r="C155" s="53">
        <v>8</v>
      </c>
      <c r="D155" s="53">
        <f>39/1.56</f>
        <v>25</v>
      </c>
      <c r="E155" s="57"/>
      <c r="F155" s="57"/>
      <c r="G155" s="57"/>
      <c r="H155" s="57"/>
      <c r="I155" s="60">
        <f t="shared" si="6"/>
        <v>3.5897435897435854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3">
        <v>95</v>
      </c>
      <c r="B156" s="59">
        <f>346/1.56</f>
        <v>221.7948717948718</v>
      </c>
      <c r="C156" s="53"/>
      <c r="D156" s="53"/>
      <c r="E156" s="57"/>
      <c r="F156" s="57"/>
      <c r="G156" s="57"/>
      <c r="H156" s="57"/>
      <c r="I156" s="60">
        <f t="shared" si="6"/>
        <v>3.333333333333337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3">
        <v>100</v>
      </c>
      <c r="B157" s="59">
        <f>(353+18)/1.56</f>
        <v>237.82051282051282</v>
      </c>
      <c r="C157" s="53">
        <v>9</v>
      </c>
      <c r="D157" s="53">
        <f>36/1.56</f>
        <v>23.076923076923077</v>
      </c>
      <c r="E157" s="57"/>
      <c r="F157" s="57"/>
      <c r="G157" s="57"/>
      <c r="H157" s="57"/>
      <c r="I157" s="60">
        <f t="shared" si="6"/>
        <v>3.2051282051282044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>
        <v>110</v>
      </c>
      <c r="B158" s="59">
        <f>(366+17)/1.56</f>
        <v>245.5128205128205</v>
      </c>
      <c r="C158" s="53">
        <v>10</v>
      </c>
      <c r="D158" s="53">
        <f>34/1.56</f>
        <v>21.794871794871796</v>
      </c>
      <c r="E158" s="57"/>
      <c r="F158" s="57"/>
      <c r="G158" s="57"/>
      <c r="H158" s="57"/>
      <c r="I158" s="60">
        <f t="shared" si="6"/>
        <v>3.0769230769230744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>
        <v>120</v>
      </c>
      <c r="B159" s="59">
        <f>(376+16)/1.56</f>
        <v>251.28205128205127</v>
      </c>
      <c r="C159" s="53">
        <v>11</v>
      </c>
      <c r="D159" s="61">
        <f>B159</f>
        <v>251.28205128205127</v>
      </c>
      <c r="E159" s="57"/>
      <c r="F159" s="57"/>
      <c r="G159" s="57"/>
      <c r="H159" s="57"/>
      <c r="I159" s="60">
        <f t="shared" si="6"/>
        <v>2.7564102564102568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Tilleul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15</v>
      </c>
      <c r="B166" s="63">
        <f>65/1.56</f>
        <v>41.666666666666664</v>
      </c>
      <c r="C166" s="63"/>
      <c r="D166" s="63"/>
      <c r="E166" s="54"/>
      <c r="F166" s="54"/>
      <c r="G166" s="54"/>
      <c r="H166" s="54"/>
      <c r="I166" s="52">
        <f>IFERROR(B166/A166,"")</f>
        <v>2.7777777777777777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20</v>
      </c>
      <c r="B167" s="63">
        <f>(109+14)/1.56</f>
        <v>78.84615384615384</v>
      </c>
      <c r="C167" s="63">
        <v>1</v>
      </c>
      <c r="D167" s="63">
        <f>34/1.56</f>
        <v>21.794871794871796</v>
      </c>
      <c r="E167" s="54"/>
      <c r="F167" s="54"/>
      <c r="G167" s="54"/>
      <c r="H167" s="54">
        <v>1</v>
      </c>
      <c r="I167" s="52">
        <f t="shared" ref="I167:I185" si="7">IF(A167&lt;&gt;0,(B167-(B166-D166))/(A167-A166),"")</f>
        <v>7.4358974358974352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25</v>
      </c>
      <c r="B168" s="63">
        <f>150/1.56</f>
        <v>96.153846153846146</v>
      </c>
      <c r="C168" s="63"/>
      <c r="D168" s="63"/>
      <c r="E168" s="54"/>
      <c r="F168" s="54"/>
      <c r="G168" s="54"/>
      <c r="H168" s="54"/>
      <c r="I168" s="52">
        <f t="shared" si="7"/>
        <v>7.8205128205128203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30</v>
      </c>
      <c r="B169" s="63">
        <f>(187+23)/1.56</f>
        <v>134.61538461538461</v>
      </c>
      <c r="C169" s="63">
        <v>2</v>
      </c>
      <c r="D169" s="63">
        <f>47/1.56</f>
        <v>30.128205128205128</v>
      </c>
      <c r="E169" s="54"/>
      <c r="F169" s="54"/>
      <c r="G169" s="54"/>
      <c r="H169" s="54">
        <v>1</v>
      </c>
      <c r="I169" s="52">
        <f t="shared" si="7"/>
        <v>7.6923076923076934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35</v>
      </c>
      <c r="B170" s="63">
        <f>219/1.56</f>
        <v>140.38461538461539</v>
      </c>
      <c r="C170" s="63"/>
      <c r="D170" s="63"/>
      <c r="E170" s="54"/>
      <c r="F170" s="54"/>
      <c r="G170" s="54"/>
      <c r="H170" s="54"/>
      <c r="I170" s="52">
        <f t="shared" si="7"/>
        <v>7.1794871794871797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40</v>
      </c>
      <c r="B171" s="63">
        <f>(248+25)/1.56</f>
        <v>175</v>
      </c>
      <c r="C171" s="63">
        <v>3</v>
      </c>
      <c r="D171" s="63">
        <f>50/1.56</f>
        <v>32.051282051282051</v>
      </c>
      <c r="E171" s="54"/>
      <c r="F171" s="54"/>
      <c r="G171" s="54"/>
      <c r="H171" s="54"/>
      <c r="I171" s="52">
        <f t="shared" si="7"/>
        <v>6.9230769230769225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45</v>
      </c>
      <c r="B172" s="63">
        <f>272/1.56</f>
        <v>174.35897435897436</v>
      </c>
      <c r="C172" s="63"/>
      <c r="D172" s="63"/>
      <c r="E172" s="54"/>
      <c r="F172" s="54"/>
      <c r="G172" s="54"/>
      <c r="H172" s="54"/>
      <c r="I172" s="52">
        <f t="shared" si="7"/>
        <v>6.2820512820512819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50</v>
      </c>
      <c r="B173" s="53">
        <f>(294+24)/1.56</f>
        <v>203.84615384615384</v>
      </c>
      <c r="C173" s="53">
        <v>4</v>
      </c>
      <c r="D173" s="53">
        <f>48/1.56</f>
        <v>30.769230769230766</v>
      </c>
      <c r="E173" s="54"/>
      <c r="F173" s="54"/>
      <c r="G173" s="54"/>
      <c r="H173" s="54"/>
      <c r="I173" s="52">
        <f t="shared" si="7"/>
        <v>5.8974358974358951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55</v>
      </c>
      <c r="B174" s="53">
        <f>314/1.56</f>
        <v>201.28205128205127</v>
      </c>
      <c r="C174" s="53"/>
      <c r="D174" s="53"/>
      <c r="E174" s="54"/>
      <c r="F174" s="54"/>
      <c r="G174" s="54"/>
      <c r="H174" s="54"/>
      <c r="I174" s="52">
        <f t="shared" si="7"/>
        <v>5.6410256410256405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>
        <v>60</v>
      </c>
      <c r="B175" s="53">
        <f>(332+23)/1.56</f>
        <v>227.56410256410257</v>
      </c>
      <c r="C175" s="53">
        <v>5</v>
      </c>
      <c r="D175" s="53">
        <f>45/1.56</f>
        <v>28.846153846153847</v>
      </c>
      <c r="E175" s="54"/>
      <c r="F175" s="54"/>
      <c r="G175" s="54"/>
      <c r="H175" s="54"/>
      <c r="I175" s="52">
        <f t="shared" si="7"/>
        <v>5.2564102564102599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>
        <v>65</v>
      </c>
      <c r="B176" s="53">
        <f>347/1.56</f>
        <v>222.43589743589743</v>
      </c>
      <c r="C176" s="53"/>
      <c r="D176" s="53"/>
      <c r="E176" s="54"/>
      <c r="F176" s="54"/>
      <c r="G176" s="54"/>
      <c r="H176" s="54"/>
      <c r="I176" s="52">
        <f t="shared" si="7"/>
        <v>4.7435897435897401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>
        <v>70</v>
      </c>
      <c r="B177" s="53">
        <f>(362+21)/1.56</f>
        <v>245.5128205128205</v>
      </c>
      <c r="C177" s="53">
        <v>6</v>
      </c>
      <c r="D177" s="53">
        <f>41/1.56</f>
        <v>26.282051282051281</v>
      </c>
      <c r="E177" s="54"/>
      <c r="F177" s="54"/>
      <c r="G177" s="54"/>
      <c r="H177" s="54"/>
      <c r="I177" s="52">
        <f t="shared" si="7"/>
        <v>4.6153846153846132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>
        <v>75</v>
      </c>
      <c r="B178" s="53">
        <f>375/1.56</f>
        <v>240.38461538461539</v>
      </c>
      <c r="C178" s="53"/>
      <c r="D178" s="53"/>
      <c r="E178" s="54"/>
      <c r="F178" s="54"/>
      <c r="G178" s="54"/>
      <c r="H178" s="54"/>
      <c r="I178" s="52">
        <f t="shared" si="7"/>
        <v>4.2307692307692317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>
        <v>80</v>
      </c>
      <c r="B179" s="53">
        <f>408/1.56</f>
        <v>261.53846153846155</v>
      </c>
      <c r="C179" s="53">
        <v>7</v>
      </c>
      <c r="D179" s="53">
        <f>37/1.56</f>
        <v>23.717948717948715</v>
      </c>
      <c r="E179" s="54"/>
      <c r="F179" s="54"/>
      <c r="G179" s="54"/>
      <c r="H179" s="54"/>
      <c r="I179" s="52">
        <f t="shared" si="7"/>
        <v>4.2307692307692317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>
        <v>85</v>
      </c>
      <c r="B180" s="53">
        <f>401/1.56</f>
        <v>257.05128205128204</v>
      </c>
      <c r="C180" s="53"/>
      <c r="D180" s="53"/>
      <c r="E180" s="54"/>
      <c r="F180" s="54"/>
      <c r="G180" s="54"/>
      <c r="H180" s="54"/>
      <c r="I180" s="52">
        <f t="shared" si="7"/>
        <v>3.8461538461538454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>
        <v>90</v>
      </c>
      <c r="B181" s="53">
        <f>(411+18)/1.56</f>
        <v>275</v>
      </c>
      <c r="C181" s="53">
        <v>8</v>
      </c>
      <c r="D181" s="53">
        <f>36/1.56</f>
        <v>23.076923076923077</v>
      </c>
      <c r="E181" s="54"/>
      <c r="F181" s="54"/>
      <c r="G181" s="54"/>
      <c r="H181" s="54"/>
      <c r="I181" s="52">
        <f t="shared" si="7"/>
        <v>3.5897435897435912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>
        <v>95</v>
      </c>
      <c r="B182" s="53">
        <f>421/1.56</f>
        <v>269.87179487179486</v>
      </c>
      <c r="C182" s="53"/>
      <c r="D182" s="53"/>
      <c r="E182" s="54"/>
      <c r="F182" s="54"/>
      <c r="G182" s="54"/>
      <c r="H182" s="54"/>
      <c r="I182" s="52">
        <f t="shared" si="7"/>
        <v>3.5897435897435854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>
        <v>100</v>
      </c>
      <c r="B183" s="53">
        <f>(430+17)/1.56</f>
        <v>286.53846153846155</v>
      </c>
      <c r="C183" s="53">
        <v>9</v>
      </c>
      <c r="D183" s="53">
        <f>33/1.56</f>
        <v>21.153846153846153</v>
      </c>
      <c r="E183" s="54"/>
      <c r="F183" s="54"/>
      <c r="G183" s="54"/>
      <c r="H183" s="54"/>
      <c r="I183" s="52">
        <f t="shared" si="7"/>
        <v>3.333333333333337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>
        <v>105</v>
      </c>
      <c r="B184" s="53">
        <f>438/1.56</f>
        <v>280.76923076923077</v>
      </c>
      <c r="C184" s="53"/>
      <c r="D184" s="53"/>
      <c r="E184" s="54"/>
      <c r="F184" s="54"/>
      <c r="G184" s="54"/>
      <c r="H184" s="54"/>
      <c r="I184" s="52">
        <f t="shared" si="7"/>
        <v>3.0769230769230718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>
        <v>110</v>
      </c>
      <c r="B185" s="53">
        <f>(446+16)/1.56</f>
        <v>296.15384615384613</v>
      </c>
      <c r="C185" s="53">
        <v>10</v>
      </c>
      <c r="D185" s="53">
        <f>B185</f>
        <v>296.15384615384613</v>
      </c>
      <c r="E185" s="54"/>
      <c r="F185" s="54"/>
      <c r="G185" s="54"/>
      <c r="H185" s="54"/>
      <c r="I185" s="52">
        <f t="shared" si="7"/>
        <v>3.0769230769230718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Bouleau verruqueux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10</v>
      </c>
      <c r="B192" s="63">
        <v>9</v>
      </c>
      <c r="C192" s="63"/>
      <c r="D192" s="63"/>
      <c r="E192" s="54"/>
      <c r="F192" s="54"/>
      <c r="G192" s="54"/>
      <c r="H192" s="54"/>
      <c r="I192" s="52">
        <f>IFERROR(B192/A192,"")</f>
        <v>0.9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15</v>
      </c>
      <c r="B193" s="63">
        <v>49</v>
      </c>
      <c r="C193" s="63"/>
      <c r="D193" s="63"/>
      <c r="E193" s="54"/>
      <c r="F193" s="54"/>
      <c r="G193" s="54"/>
      <c r="H193" s="54"/>
      <c r="I193" s="52">
        <f t="shared" ref="I193:I211" si="8">IF(A193&lt;&gt;0,(B193-(B192-D192))/(A193-A192),"")</f>
        <v>8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20</v>
      </c>
      <c r="B194" s="63">
        <v>99</v>
      </c>
      <c r="C194" s="63">
        <v>1</v>
      </c>
      <c r="D194" s="63">
        <v>40</v>
      </c>
      <c r="E194" s="54"/>
      <c r="F194" s="54"/>
      <c r="G194" s="54"/>
      <c r="H194" s="54">
        <v>1</v>
      </c>
      <c r="I194" s="52">
        <f t="shared" si="8"/>
        <v>10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25</v>
      </c>
      <c r="B195" s="63">
        <v>102</v>
      </c>
      <c r="C195" s="63"/>
      <c r="D195" s="63"/>
      <c r="E195" s="54"/>
      <c r="F195" s="54"/>
      <c r="G195" s="54"/>
      <c r="H195" s="54"/>
      <c r="I195" s="52">
        <f t="shared" si="8"/>
        <v>8.6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30</v>
      </c>
      <c r="B196" s="63">
        <v>146</v>
      </c>
      <c r="C196" s="63"/>
      <c r="D196" s="63"/>
      <c r="E196" s="54"/>
      <c r="F196" s="54"/>
      <c r="G196" s="54"/>
      <c r="H196" s="54"/>
      <c r="I196" s="52">
        <f t="shared" si="8"/>
        <v>8.8000000000000007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35</v>
      </c>
      <c r="B197" s="63">
        <v>190</v>
      </c>
      <c r="C197" s="63">
        <v>2</v>
      </c>
      <c r="D197" s="63">
        <v>76</v>
      </c>
      <c r="E197" s="54"/>
      <c r="F197" s="54"/>
      <c r="G197" s="54"/>
      <c r="H197" s="54"/>
      <c r="I197" s="52">
        <f t="shared" si="8"/>
        <v>8.8000000000000007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40</v>
      </c>
      <c r="B198" s="63">
        <v>152</v>
      </c>
      <c r="C198" s="63"/>
      <c r="D198" s="63"/>
      <c r="E198" s="54"/>
      <c r="F198" s="54"/>
      <c r="G198" s="54"/>
      <c r="H198" s="54"/>
      <c r="I198" s="52">
        <f t="shared" si="8"/>
        <v>7.6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45</v>
      </c>
      <c r="B199" s="53">
        <v>190</v>
      </c>
      <c r="C199" s="53"/>
      <c r="D199" s="53"/>
      <c r="E199" s="54"/>
      <c r="F199" s="54"/>
      <c r="G199" s="54"/>
      <c r="H199" s="54"/>
      <c r="I199" s="52">
        <f t="shared" si="8"/>
        <v>7.6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50</v>
      </c>
      <c r="B200" s="53">
        <v>228</v>
      </c>
      <c r="C200" s="53"/>
      <c r="D200" s="53"/>
      <c r="E200" s="54"/>
      <c r="F200" s="54"/>
      <c r="G200" s="54"/>
      <c r="H200" s="54"/>
      <c r="I200" s="52">
        <f t="shared" si="8"/>
        <v>7.6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>
        <v>55</v>
      </c>
      <c r="B201" s="53">
        <v>266</v>
      </c>
      <c r="C201" s="53"/>
      <c r="D201" s="53"/>
      <c r="E201" s="54"/>
      <c r="F201" s="54"/>
      <c r="G201" s="54"/>
      <c r="H201" s="54"/>
      <c r="I201" s="52">
        <f t="shared" si="8"/>
        <v>7.6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>
        <v>60</v>
      </c>
      <c r="B202" s="53">
        <v>303</v>
      </c>
      <c r="C202" s="53">
        <v>3</v>
      </c>
      <c r="D202" s="53">
        <f>B202</f>
        <v>303</v>
      </c>
      <c r="E202" s="54"/>
      <c r="F202" s="54"/>
      <c r="G202" s="54"/>
      <c r="H202" s="54"/>
      <c r="I202" s="52">
        <f t="shared" si="8"/>
        <v>7.4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22" sqref="B22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Hêtre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Erable sycomore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Merisier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plane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Charme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Tilleul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Bouleau verruqueux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446.27304516866047</v>
      </c>
      <c r="T3" s="62">
        <f>IF('Données projet'!E9&gt;30,$R$33-$H$33,LOOKUP('Données projet'!$E$9,$A$3:$A$203,R3:R203)-LOOKUP('Données projet'!$E$9,$A$3:$A$203,$H$3:$H$203))</f>
        <v>230.82970731138215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427.78067187784063</v>
      </c>
      <c r="AO3" s="62">
        <f>IF('Données projet'!E10&gt;30,$AM$33-$H$33,LOOKUP('Données projet'!$E$10,$A$3:$A$203,AM3:AM203)-LOOKUP('Données projet'!$E$10,$A$3:$A$203,$H$3:$H$203))</f>
        <v>464.22892523825118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312.09994042858187</v>
      </c>
      <c r="BJ3" s="62">
        <f>IF('Données projet'!E11&gt;30,$BH$33-$H$33,LOOKUP('Données projet'!$E$11,$A$3:$A$203,BH3:BH203)-LOOKUP('Données projet'!$E$11,$A$3:$A$203,$H$3:$H$203))</f>
        <v>283.48738729114024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370.79299728190904</v>
      </c>
      <c r="CE3" s="62">
        <f>IF('Données projet'!E12&gt;30,$CC$33-$H$33,LOOKUP('Données projet'!$E$12,$A$3:$A$203,CC3:CC203)-LOOKUP('Données projet'!$E$12,$A$3:$A$203,$H$3:$H$203))</f>
        <v>404.95703400805775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351.34897243264044</v>
      </c>
      <c r="CZ3" s="62">
        <f>IF('Données projet'!E13&gt;30,$CX$33-$H$33,LOOKUP('Données projet'!$E$13,$A$3:$A$203,CX3:CX203)-LOOKUP('Données projet'!$E$13,$A$3:$A$203,$H$3:$H$203))</f>
        <v>268.39685058071603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290.46086333591074</v>
      </c>
      <c r="DU3" s="62">
        <f>IF('Données projet'!E14&gt;30,$DS$33-$H$33,LOOKUP('Données projet'!$E$14,$A$3:$A$203,DS3:DS203)-LOOKUP('Données projet'!$E$14,$A$3:$A$203,$H$3:$H$203))</f>
        <v>236.8495901994267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256.66666666666669</v>
      </c>
      <c r="EO3" s="62">
        <f ca="1">AVERAGE(OFFSET($EN$3,0,0,'Données projet'!$E$15+1,1))-AVERAGE(OFFSET($H$3,0,0,'Données projet'!$E$15+1,1))</f>
        <v>256.19915261735281</v>
      </c>
      <c r="EP3" s="62">
        <f>IF('Données projet'!E15&gt;30,$EN$33-$H$33,LOOKUP('Données projet'!$E$15,$A$3:$A$203,EN3:EN203)-LOOKUP('Données projet'!$E$15,$A$3:$A$203,$H$3:$H$203))</f>
        <v>297.47246687305056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0.2</v>
      </c>
      <c r="N4" s="14">
        <f>IF('Données projet'!$A$36&gt;35,N3+M4-V3,IF(A4&lt;'Données projet'!$A$36,$K$205^A4,IF(A4='Données projet'!$A$36,'Données projet'!$B$36,N3+M4-V3)))</f>
        <v>1.0759896247253458</v>
      </c>
      <c r="O4" s="14">
        <f>N4*VLOOKUP('Données projet'!$B$9,Paramètres!$A$1:$I$89,3,0)*VLOOKUP('Données projet'!$B$9,Paramètres!$A$1:$I$89,5,0)</f>
        <v>0.92319909801434674</v>
      </c>
      <c r="P4" s="14">
        <f>EXP(-1.0587+0.8836*LN(O4)+0.284)</f>
        <v>0.42942473381776325</v>
      </c>
      <c r="Q4" s="22">
        <f t="shared" ref="Q4:Q34" si="2">(O4+P4)*0.475*44/12</f>
        <v>2.3558198404409247</v>
      </c>
      <c r="R4" s="62">
        <f t="shared" si="0"/>
        <v>260.24470872932977</v>
      </c>
      <c r="S4" s="62">
        <f ca="1">AVERAGE(OFFSET($R$3,0,0,'Données projet'!$E$9+1,1))-AVERAGE(OFFSET($H$3,0,0,'Données projet'!$E$9+1,1))</f>
        <v>446.27304516866047</v>
      </c>
      <c r="T4" s="62">
        <f>$T$3</f>
        <v>230.82970731138215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1.9</v>
      </c>
      <c r="AI4" s="14">
        <f>IF('Données projet'!$A$62&gt;35,AI3+AH4-AQ3,IF(A4&lt;'Données projet'!$A$62,$AF$205^A4,IF(A4='Données projet'!$A$62,'Données projet'!$B$62,AI3+AH4-AQ3)))</f>
        <v>1.3423796509621049</v>
      </c>
      <c r="AJ4" s="14">
        <f>AI4*VLOOKUP('Données projet'!$B$10,Paramètres!$A$1:$I$89,3,0)*VLOOKUP('Données projet'!$B$10,Paramètres!$A$1:$I$89,5,0)</f>
        <v>1.0679972503054507</v>
      </c>
      <c r="AK4" s="14">
        <f>EXP(-1.0587+0.8836*LN(AJ4)+0.284)</f>
        <v>0.48842359485523285</v>
      </c>
      <c r="AL4" s="22">
        <f t="shared" ref="AL4:AL67" si="4">(AJ4+AK4)*0.475*44/12</f>
        <v>2.7107663053215236</v>
      </c>
      <c r="AM4" s="62">
        <f t="shared" ref="AM4:AM67" si="5">AL4+(AD4+AE4)*44/12</f>
        <v>260.59965519421036</v>
      </c>
      <c r="AN4" s="62">
        <f ca="1">AVERAGE(OFFSET($AM$3,0,0,'Données projet'!$E$10+1,1))-AVERAGE(OFFSET($H$3,0,0,'Données projet'!$E$10+1,1))</f>
        <v>427.78067187784063</v>
      </c>
      <c r="AO4" s="62">
        <f>$AO$3</f>
        <v>464.22892523825118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2.6666666666666665</v>
      </c>
      <c r="BD4" s="13">
        <f>IF('Données projet'!$A$88&gt;35,BD3+BC4-BL3,IF(A4&lt;'Données projet'!$A$88,$BA$205^A4,IF(A4='Données projet'!$A$88,'Données projet'!$B$88,BD3+BC4-BL3)))</f>
        <v>1.2788040393997409</v>
      </c>
      <c r="BE4" s="14">
        <f>BD4*VLOOKUP('Données projet'!$B$11,Paramètres!$A$1:$I$89,3,0)*VLOOKUP('Données projet'!$B$11,Paramètres!$A$1:$I$89,5,0)</f>
        <v>0.99746715073179792</v>
      </c>
      <c r="BF4" s="14">
        <f>EXP(-1.0587+0.8836*LN(BE4)+0.284)</f>
        <v>0.45981048445793882</v>
      </c>
      <c r="BG4" s="22">
        <f t="shared" ref="BG4:BG67" si="7">(BE4+BF4)*0.475*44/12</f>
        <v>2.5380918812887914</v>
      </c>
      <c r="BH4" s="62">
        <f t="shared" ref="BH4:BH67" si="8">BG4+(AY4+AZ4)*44/12</f>
        <v>260.42698077017764</v>
      </c>
      <c r="BI4" s="62">
        <f ca="1">AVERAGE(OFFSET($BH$3,0,0,'Données projet'!$E$11+1,1))-AVERAGE(OFFSET($H$3,0,0,'Données projet'!$E$11+1,1))</f>
        <v>312.09994042858187</v>
      </c>
      <c r="BJ4" s="62">
        <f>$BJ$3</f>
        <v>283.48738729114024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1.1000000000000001</v>
      </c>
      <c r="BY4" s="13">
        <f>IF('Données projet'!$A$114&gt;35,BY3+BX4-CG3,IF(A4&lt;'Données projet'!$A$114,$BV$205^A4,IF(A4='Données projet'!$A$114,'Données projet'!$B$114,BY3+BX4-CG3)))</f>
        <v>1.2709816152101407</v>
      </c>
      <c r="BZ4" s="14">
        <f>BY4*VLOOKUP('Données projet'!$B$12,Paramètres!$A$1:$I$89,3,0)*VLOOKUP('Données projet'!$B$12,Paramètres!$A$1:$I$89,5,0)</f>
        <v>1.0111929730611879</v>
      </c>
      <c r="CA4" s="14">
        <f>EXP(-1.0587+0.8836*LN(BZ4)+0.284)</f>
        <v>0.46539683474213156</v>
      </c>
      <c r="CB4" s="22">
        <f t="shared" ref="CB4:CB67" si="10">(BZ4+CA4)*0.475*44/12</f>
        <v>2.5717272485907814</v>
      </c>
      <c r="CC4" s="62">
        <f t="shared" ref="CC4:CC67" si="11">CB4+(BT4+BU4)*44/12</f>
        <v>260.46061613747963</v>
      </c>
      <c r="CD4" s="62">
        <f ca="1">AVERAGE(OFFSET($CC$3,0,0,'Données projet'!$E$12+1,1))-AVERAGE(OFFSET($H$3,0,0,'Données projet'!$E$12+1,1))</f>
        <v>370.79299728190904</v>
      </c>
      <c r="CE4" s="62">
        <f>$CE$3</f>
        <v>404.95703400805775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2.2649572649572649</v>
      </c>
      <c r="CT4" s="13">
        <f>IF('Données projet'!$A$140&gt;35,CT3+CS4-DB3,IF(A4&lt;'Données projet'!$A$140,$CQ$205^A4,IF(A4='Données projet'!$A$140,'Données projet'!$B$140,CT3+CS4-DB3)))</f>
        <v>1.2649598798623627</v>
      </c>
      <c r="CU4" s="18">
        <f>CT4*VLOOKUP('Données projet'!$B$13,Paramètres!$A$1:$I$89,3,0)*VLOOKUP('Données projet'!$B$13,Paramètres!$A$1:$I$89,5,0)</f>
        <v>1.2037358216770244</v>
      </c>
      <c r="CV4" s="14">
        <f>EXP(-1.0587+0.8836*LN(CU4)+0.284)</f>
        <v>0.54288697199953284</v>
      </c>
      <c r="CW4" s="22">
        <f t="shared" ref="CW4:CW67" si="13">(CU4+CV4)*0.475*44/12</f>
        <v>3.0420346989866704</v>
      </c>
      <c r="CX4" s="62">
        <f t="shared" ref="CX4:CX67" si="14">CW4+(CO4+CP4)*44/12</f>
        <v>260.93092358787555</v>
      </c>
      <c r="CY4" s="62">
        <f ca="1">AVERAGE(OFFSET($CX$3,0,0,'Données projet'!$E$13+1,1))-AVERAGE(OFFSET($H$3,0,0,'Données projet'!$E$13+1,1))</f>
        <v>351.34897243264044</v>
      </c>
      <c r="CZ4" s="62">
        <f>$CZ$3</f>
        <v>268.39685058071603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2.7777777777777777</v>
      </c>
      <c r="DO4" s="13">
        <f>IF('Données projet'!$A$166&gt;35,DO3+DN4-DW3,IF(A4&lt;'Données projet'!$A$166,$DL$205^A4,IF(A4='Données projet'!$A$166,'Données projet'!$B$166,DO3+DN4-DW3)))</f>
        <v>1.2822890014514785</v>
      </c>
      <c r="DP4" s="18">
        <f>DO4*VLOOKUP('Données projet'!$B$14,Paramètres!$A$1:$I$89,3,0)*VLOOKUP('Données projet'!$B$14,Paramètres!$A$1:$I$89,5,0)</f>
        <v>0.8601594621736518</v>
      </c>
      <c r="DQ4" s="14">
        <f>EXP(-1.0587+0.8836*LN(DP4)+0.284)</f>
        <v>0.40340942797853763</v>
      </c>
      <c r="DR4" s="22">
        <f t="shared" ref="DR4:DR67" si="16">(DP4+DQ4)*0.475*44/12</f>
        <v>2.2007158170150634</v>
      </c>
      <c r="DS4" s="62">
        <f t="shared" ref="DS4:DS67" si="17">DR4+(DJ4+DK4)*44/12</f>
        <v>260.08960470590392</v>
      </c>
      <c r="DT4" s="62">
        <f ca="1">AVERAGE(OFFSET($DS$3,0,0,'Données projet'!$E$14+1,1))-AVERAGE(OFFSET($H$3,0,0,'Données projet'!$E$14+1,1))</f>
        <v>290.46086333591074</v>
      </c>
      <c r="DU4" s="62">
        <f>$DU$3</f>
        <v>236.8495901994267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0.9</v>
      </c>
      <c r="EJ4" s="13">
        <f>IF('Données projet'!$A$192&gt;35,EJ3+EI4-ER3,IF(A4&lt;'Données projet'!$A$192,$EG$205^A4,IF(A4='Données projet'!$A$192,'Données projet'!$B$192,EJ3+EI4-ER3)))</f>
        <v>1.2457309396155174</v>
      </c>
      <c r="EK4" s="18">
        <f>EJ4*VLOOKUP('Données projet'!$B$15,Paramètres!$A$1:$I$89,3,0)*VLOOKUP('Données projet'!$B$15,Paramètres!$A$1:$I$89,5,0)</f>
        <v>1.0105369382161078</v>
      </c>
      <c r="EL4" s="14">
        <f>EXP(-1.0587+0.8836*LN(EK4)+0.284)</f>
        <v>0.46513003316107315</v>
      </c>
      <c r="EM4" s="22">
        <f t="shared" ref="EM4:EM67" si="19">(EK4+EL4)*0.475*44/12</f>
        <v>2.5701199751485899</v>
      </c>
      <c r="EN4" s="62">
        <f t="shared" ref="EN4:EN67" si="20">EM4+(EE4+EF4)*44/12</f>
        <v>260.45900886403746</v>
      </c>
      <c r="EO4" s="62">
        <f ca="1">AVERAGE(OFFSET($EN$3,0,0,'Données projet'!$E$15+1,1))-AVERAGE(OFFSET($H$3,0,0,'Données projet'!$E$15+1,1))</f>
        <v>256.19915261735281</v>
      </c>
      <c r="EP4" s="62">
        <f>$EP$3</f>
        <v>297.47246687305056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0.2</v>
      </c>
      <c r="N5" s="14">
        <f>IF('Données projet'!$A$36&gt;35,N4+M5-V4,IF(A5&lt;'Données projet'!$A$36,$K$205^A5,IF(A5='Données projet'!$A$36,'Données projet'!$B$36,N4+M5-V4)))</f>
        <v>1.1577536725165904</v>
      </c>
      <c r="O5" s="14">
        <f>N5*VLOOKUP('Données projet'!$B$9,Paramètres!$A$1:$I$89,3,0)*VLOOKUP('Données projet'!$B$9,Paramètres!$A$1:$I$89,5,0)</f>
        <v>0.99335265101923464</v>
      </c>
      <c r="P5" s="14">
        <f t="shared" ref="P5:P68" si="33">EXP(-1.0587+0.8836*LN(O5)+0.284)</f>
        <v>0.45813416254999062</v>
      </c>
      <c r="Q5" s="22">
        <f t="shared" si="2"/>
        <v>2.5280062002997341</v>
      </c>
      <c r="R5" s="62">
        <f t="shared" si="0"/>
        <v>261.63911731141087</v>
      </c>
      <c r="S5" s="62">
        <f ca="1">AVERAGE(OFFSET($R$3,0,0,'Données projet'!$E$9+1,1))-AVERAGE(OFFSET($H$3,0,0,'Données projet'!$E$9+1,1))</f>
        <v>446.27304516866047</v>
      </c>
      <c r="T5" s="62">
        <f t="shared" ref="T5:T68" si="34">$T$3</f>
        <v>230.82970731138215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1.9</v>
      </c>
      <c r="AI5" s="14">
        <f>IF('Données projet'!$A$62&gt;35,AI4+AH5-AQ4,IF(A5&lt;'Données projet'!$A$62,$AF$205^A5,IF(A5='Données projet'!$A$62,'Données projet'!$B$62,AI4+AH5-AQ4)))</f>
        <v>1.8019831273171425</v>
      </c>
      <c r="AJ5" s="14">
        <f>AI5*VLOOKUP('Données projet'!$B$10,Paramètres!$A$1:$I$89,3,0)*VLOOKUP('Données projet'!$B$10,Paramètres!$A$1:$I$89,5,0)</f>
        <v>1.4336577760935185</v>
      </c>
      <c r="AK5" s="14">
        <f t="shared" ref="AK5:AK68" si="35">EXP(-1.0587+0.8836*LN(AJ5)+0.284)</f>
        <v>0.63355934907379652</v>
      </c>
      <c r="AL5" s="22">
        <f t="shared" si="4"/>
        <v>3.6004031596664068</v>
      </c>
      <c r="AM5" s="62">
        <f t="shared" si="5"/>
        <v>262.71151427077757</v>
      </c>
      <c r="AN5" s="62">
        <f ca="1">AVERAGE(OFFSET($AM$3,0,0,'Données projet'!$E$10+1,1))-AVERAGE(OFFSET($H$3,0,0,'Données projet'!$E$10+1,1))</f>
        <v>427.78067187784063</v>
      </c>
      <c r="AO5" s="62">
        <f t="shared" ref="AO5:AO68" si="36">$AO$3</f>
        <v>464.22892523825118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2.6666666666666665</v>
      </c>
      <c r="BD5" s="13">
        <f>IF('Données projet'!$A$88&gt;35,BD4+BC5-BL4,IF(A5&lt;'Données projet'!$A$88,$BA$205^A5,IF(A5='Données projet'!$A$88,'Données projet'!$B$88,BD4+BC5-BL4)))</f>
        <v>1.6353397711850939</v>
      </c>
      <c r="BE5" s="14">
        <f>BD5*VLOOKUP('Données projet'!$B$11,Paramètres!$A$1:$I$89,3,0)*VLOOKUP('Données projet'!$B$11,Paramètres!$A$1:$I$89,5,0)</f>
        <v>1.2755650215243732</v>
      </c>
      <c r="BF5" s="14">
        <f t="shared" ref="BF5:BF68" si="37">EXP(-1.0587+0.8836*LN(BE5)+0.284)</f>
        <v>0.57141400910743001</v>
      </c>
      <c r="BG5" s="22">
        <f t="shared" si="7"/>
        <v>3.2168218116837237</v>
      </c>
      <c r="BH5" s="62">
        <f t="shared" si="8"/>
        <v>262.32793292279484</v>
      </c>
      <c r="BI5" s="62">
        <f ca="1">AVERAGE(OFFSET($BH$3,0,0,'Données projet'!$E$11+1,1))-AVERAGE(OFFSET($H$3,0,0,'Données projet'!$E$11+1,1))</f>
        <v>312.09994042858187</v>
      </c>
      <c r="BJ5" s="62">
        <f t="shared" ref="BJ5:BJ68" si="38">$BJ$3</f>
        <v>283.48738729114024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1.1000000000000001</v>
      </c>
      <c r="BY5" s="13">
        <f>IF('Données projet'!$A$114&gt;35,BY4+BX5-CG4,IF(A5&lt;'Données projet'!$A$114,$BV$205^A5,IF(A5='Données projet'!$A$114,'Données projet'!$B$114,BY4+BX5-CG4)))</f>
        <v>1.6153942662021783</v>
      </c>
      <c r="BZ5" s="14">
        <f>BY5*VLOOKUP('Données projet'!$B$12,Paramètres!$A$1:$I$89,3,0)*VLOOKUP('Données projet'!$B$12,Paramètres!$A$1:$I$89,5,0)</f>
        <v>1.2852076781904531</v>
      </c>
      <c r="CA5" s="14">
        <f t="shared" ref="CA5:CA68" si="39">EXP(-1.0587+0.8836*LN(BZ5)+0.284)</f>
        <v>0.57522914588482876</v>
      </c>
      <c r="CB5" s="22">
        <f t="shared" si="10"/>
        <v>3.2402608019311159</v>
      </c>
      <c r="CC5" s="62">
        <f t="shared" si="11"/>
        <v>262.35137191304227</v>
      </c>
      <c r="CD5" s="62">
        <f ca="1">AVERAGE(OFFSET($CC$3,0,0,'Données projet'!$E$12+1,1))-AVERAGE(OFFSET($H$3,0,0,'Données projet'!$E$12+1,1))</f>
        <v>370.79299728190904</v>
      </c>
      <c r="CE5" s="62">
        <f t="shared" ref="CE5:CE68" si="40">$CE$3</f>
        <v>404.95703400805775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2.2649572649572649</v>
      </c>
      <c r="CT5" s="13">
        <f>IF('Données projet'!$A$140&gt;35,CT4+CS5-DB4,IF(A5&lt;'Données projet'!$A$140,$CQ$205^A5,IF(A5='Données projet'!$A$140,'Données projet'!$B$140,CT4+CS5-DB4)))</f>
        <v>1.6001234976614032</v>
      </c>
      <c r="CU5" s="18">
        <f>CT5*VLOOKUP('Données projet'!$B$13,Paramètres!$A$1:$I$89,3,0)*VLOOKUP('Données projet'!$B$13,Paramètres!$A$1:$I$89,5,0)</f>
        <v>1.5226775203745913</v>
      </c>
      <c r="CV5" s="14">
        <f t="shared" ref="CV5:CV68" si="41">EXP(-1.0587+0.8836*LN(CU5)+0.284)</f>
        <v>0.66819687050841592</v>
      </c>
      <c r="CW5" s="22">
        <f t="shared" si="13"/>
        <v>3.8157728974545706</v>
      </c>
      <c r="CX5" s="62">
        <f t="shared" si="14"/>
        <v>262.92688400856571</v>
      </c>
      <c r="CY5" s="62">
        <f ca="1">AVERAGE(OFFSET($CX$3,0,0,'Données projet'!$E$13+1,1))-AVERAGE(OFFSET($H$3,0,0,'Données projet'!$E$13+1,1))</f>
        <v>351.34897243264044</v>
      </c>
      <c r="CZ5" s="62">
        <f t="shared" ref="CZ5:CZ68" si="42">$CZ$3</f>
        <v>268.39685058071603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2.7777777777777777</v>
      </c>
      <c r="DO5" s="13">
        <f>IF('Données projet'!$A$166&gt;35,DO4+DN5-DW4,IF(A5&lt;'Données projet'!$A$166,$DL$205^A5,IF(A5='Données projet'!$A$166,'Données projet'!$B$166,DO4+DN5-DW4)))</f>
        <v>1.6442650832434298</v>
      </c>
      <c r="DP5" s="18">
        <f>DO5*VLOOKUP('Données projet'!$B$14,Paramètres!$A$1:$I$89,3,0)*VLOOKUP('Données projet'!$B$14,Paramètres!$A$1:$I$89,5,0)</f>
        <v>1.1029730178396928</v>
      </c>
      <c r="DQ5" s="14">
        <f t="shared" ref="DQ5:DQ68" si="43">EXP(-1.0587+0.8836*LN(DP5)+0.284)</f>
        <v>0.50253047081784186</v>
      </c>
      <c r="DR5" s="22">
        <f t="shared" si="16"/>
        <v>2.7962519094118723</v>
      </c>
      <c r="DS5" s="62">
        <f t="shared" si="17"/>
        <v>261.90736302052301</v>
      </c>
      <c r="DT5" s="62">
        <f ca="1">AVERAGE(OFFSET($DS$3,0,0,'Données projet'!$E$14+1,1))-AVERAGE(OFFSET($H$3,0,0,'Données projet'!$E$14+1,1))</f>
        <v>290.46086333591074</v>
      </c>
      <c r="DU5" s="62">
        <f t="shared" ref="DU5:DU68" si="44">$DU$3</f>
        <v>236.8495901994267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0.9</v>
      </c>
      <c r="EJ5" s="13">
        <f>IF('Données projet'!$A$192&gt;35,EJ4+EI5-ER4,IF(A5&lt;'Données projet'!$A$192,$EG$205^A5,IF(A5='Données projet'!$A$192,'Données projet'!$B$192,EJ4+EI5-ER4)))</f>
        <v>1.5518455739153598</v>
      </c>
      <c r="EK5" s="18">
        <f>EJ5*VLOOKUP('Données projet'!$B$15,Paramètres!$A$1:$I$89,3,0)*VLOOKUP('Données projet'!$B$15,Paramètres!$A$1:$I$89,5,0)</f>
        <v>1.2588571295601401</v>
      </c>
      <c r="EL5" s="14">
        <f t="shared" ref="EL5:EL68" si="45">EXP(-1.0587+0.8836*LN(EK5)+0.284)</f>
        <v>0.56479552972512193</v>
      </c>
      <c r="EM5" s="22">
        <f t="shared" si="19"/>
        <v>3.1761950482551646</v>
      </c>
      <c r="EN5" s="62">
        <f t="shared" si="20"/>
        <v>262.28730615936632</v>
      </c>
      <c r="EO5" s="62">
        <f ca="1">AVERAGE(OFFSET($EN$3,0,0,'Données projet'!$E$15+1,1))-AVERAGE(OFFSET($H$3,0,0,'Données projet'!$E$15+1,1))</f>
        <v>256.19915261735281</v>
      </c>
      <c r="EP5" s="62">
        <f t="shared" ref="EP5:EP68" si="46">$EP$3</f>
        <v>297.47246687305056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0.2</v>
      </c>
      <c r="N6" s="14">
        <f>IF('Données projet'!$A$36&gt;35,N5+M6-V5,IF(A6&lt;'Données projet'!$A$36,$K$205^A6,IF(A6='Données projet'!$A$36,'Données projet'!$B$36,N5+M6-V5)))</f>
        <v>1.245730939615517</v>
      </c>
      <c r="O6" s="14">
        <f>N6*VLOOKUP('Données projet'!$B$9,Paramètres!$A$1:$I$89,3,0)*VLOOKUP('Données projet'!$B$9,Paramètres!$A$1:$I$89,5,0)</f>
        <v>1.0688371461901136</v>
      </c>
      <c r="P6" s="14">
        <f t="shared" si="33"/>
        <v>0.48876297606195118</v>
      </c>
      <c r="Q6" s="22">
        <f t="shared" si="2"/>
        <v>2.7128202129223458</v>
      </c>
      <c r="R6" s="62">
        <f t="shared" si="0"/>
        <v>263.04615354625565</v>
      </c>
      <c r="S6" s="62">
        <f ca="1">AVERAGE(OFFSET($R$3,0,0,'Données projet'!$E$9+1,1))-AVERAGE(OFFSET($H$3,0,0,'Données projet'!$E$9+1,1))</f>
        <v>446.27304516866047</v>
      </c>
      <c r="T6" s="62">
        <f t="shared" si="34"/>
        <v>230.82970731138215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1.9</v>
      </c>
      <c r="AI6" s="14">
        <f>IF('Données projet'!$A$62&gt;35,AI5+AH6-AQ5,IF(A6&lt;'Données projet'!$A$62,$AF$205^A6,IF(A6='Données projet'!$A$62,'Données projet'!$B$62,AI5+AH6-AQ5)))</f>
        <v>2.4189454814875879</v>
      </c>
      <c r="AJ6" s="14">
        <f>AI6*VLOOKUP('Données projet'!$B$10,Paramètres!$A$1:$I$89,3,0)*VLOOKUP('Données projet'!$B$10,Paramètres!$A$1:$I$89,5,0)</f>
        <v>1.9245130250715252</v>
      </c>
      <c r="AK6" s="14">
        <f t="shared" si="35"/>
        <v>0.82182239561499026</v>
      </c>
      <c r="AL6" s="22">
        <f t="shared" si="4"/>
        <v>4.7832008576956815</v>
      </c>
      <c r="AM6" s="62">
        <f t="shared" si="5"/>
        <v>265.11653419102902</v>
      </c>
      <c r="AN6" s="62">
        <f ca="1">AVERAGE(OFFSET($AM$3,0,0,'Données projet'!$E$10+1,1))-AVERAGE(OFFSET($H$3,0,0,'Données projet'!$E$10+1,1))</f>
        <v>427.78067187784063</v>
      </c>
      <c r="AO6" s="62">
        <f t="shared" si="36"/>
        <v>464.22892523825118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2.6666666666666665</v>
      </c>
      <c r="BD6" s="13">
        <f>IF('Données projet'!$A$88&gt;35,BD5+BC6-BL5,IF(A6&lt;'Données projet'!$A$88,$BA$205^A6,IF(A6='Données projet'!$A$88,'Données projet'!$B$88,BD5+BC6-BL5)))</f>
        <v>2.0912791051825459</v>
      </c>
      <c r="BE6" s="14">
        <f>BD6*VLOOKUP('Données projet'!$B$11,Paramètres!$A$1:$I$89,3,0)*VLOOKUP('Données projet'!$B$11,Paramètres!$A$1:$I$89,5,0)</f>
        <v>1.6311977020423858</v>
      </c>
      <c r="BF6" s="14">
        <f t="shared" si="37"/>
        <v>0.71010553443370616</v>
      </c>
      <c r="BG6" s="22">
        <f t="shared" si="7"/>
        <v>4.0777698035291934</v>
      </c>
      <c r="BH6" s="62">
        <f t="shared" si="8"/>
        <v>264.41110313686249</v>
      </c>
      <c r="BI6" s="62">
        <f ca="1">AVERAGE(OFFSET($BH$3,0,0,'Données projet'!$E$11+1,1))-AVERAGE(OFFSET($H$3,0,0,'Données projet'!$E$11+1,1))</f>
        <v>312.09994042858187</v>
      </c>
      <c r="BJ6" s="62">
        <f t="shared" si="38"/>
        <v>283.48738729114024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1.1000000000000001</v>
      </c>
      <c r="BY6" s="13">
        <f>IF('Données projet'!$A$114&gt;35,BY5+BX6-CG5,IF(A6&lt;'Données projet'!$A$114,$BV$205^A6,IF(A6='Données projet'!$A$114,'Données projet'!$B$114,BY5+BX6-CG5)))</f>
        <v>2.0531364136588448</v>
      </c>
      <c r="BZ6" s="14">
        <f>BY6*VLOOKUP('Données projet'!$B$12,Paramètres!$A$1:$I$89,3,0)*VLOOKUP('Données projet'!$B$12,Paramètres!$A$1:$I$89,5,0)</f>
        <v>1.6334753307069771</v>
      </c>
      <c r="CA6" s="14">
        <f t="shared" si="39"/>
        <v>0.71098156578295024</v>
      </c>
      <c r="CB6" s="22">
        <f t="shared" si="10"/>
        <v>4.0832624280532892</v>
      </c>
      <c r="CC6" s="62">
        <f t="shared" si="11"/>
        <v>264.41659576138659</v>
      </c>
      <c r="CD6" s="62">
        <f ca="1">AVERAGE(OFFSET($CC$3,0,0,'Données projet'!$E$12+1,1))-AVERAGE(OFFSET($H$3,0,0,'Données projet'!$E$12+1,1))</f>
        <v>370.79299728190904</v>
      </c>
      <c r="CE6" s="62">
        <f t="shared" si="40"/>
        <v>404.95703400805775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2.2649572649572649</v>
      </c>
      <c r="CT6" s="13">
        <f>IF('Données projet'!$A$140&gt;35,CT5+CS6-DB5,IF(A6&lt;'Données projet'!$A$140,$CQ$205^A6,IF(A6='Données projet'!$A$140,'Données projet'!$B$140,CT5+CS6-DB5)))</f>
        <v>2.024092027366712</v>
      </c>
      <c r="CU6" s="18">
        <f>CT6*VLOOKUP('Données projet'!$B$13,Paramètres!$A$1:$I$89,3,0)*VLOOKUP('Données projet'!$B$13,Paramètres!$A$1:$I$89,5,0)</f>
        <v>1.9261259732421634</v>
      </c>
      <c r="CV6" s="14">
        <f t="shared" si="41"/>
        <v>0.8224309677441014</v>
      </c>
      <c r="CW6" s="22">
        <f t="shared" si="13"/>
        <v>4.7870700055510769</v>
      </c>
      <c r="CX6" s="62">
        <f t="shared" si="14"/>
        <v>265.12040333888439</v>
      </c>
      <c r="CY6" s="62">
        <f ca="1">AVERAGE(OFFSET($CX$3,0,0,'Données projet'!$E$13+1,1))-AVERAGE(OFFSET($H$3,0,0,'Données projet'!$E$13+1,1))</f>
        <v>351.34897243264044</v>
      </c>
      <c r="CZ6" s="62">
        <f t="shared" si="42"/>
        <v>268.39685058071603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2.7777777777777777</v>
      </c>
      <c r="DO6" s="13">
        <f>IF('Données projet'!$A$166&gt;35,DO5+DN6-DW5,IF(A6&lt;'Données projet'!$A$166,$DL$205^A6,IF(A6='Données projet'!$A$166,'Données projet'!$B$166,DO5+DN6-DW5)))</f>
        <v>2.1084230317137496</v>
      </c>
      <c r="DP6" s="18">
        <f>DO6*VLOOKUP('Données projet'!$B$14,Paramètres!$A$1:$I$89,3,0)*VLOOKUP('Données projet'!$B$14,Paramètres!$A$1:$I$89,5,0)</f>
        <v>1.4143301696735833</v>
      </c>
      <c r="DQ6" s="14">
        <f t="shared" si="43"/>
        <v>0.62600637611731103</v>
      </c>
      <c r="DR6" s="22">
        <f t="shared" si="16"/>
        <v>3.5535861505858075</v>
      </c>
      <c r="DS6" s="62">
        <f t="shared" si="17"/>
        <v>263.88691948391914</v>
      </c>
      <c r="DT6" s="62">
        <f ca="1">AVERAGE(OFFSET($DS$3,0,0,'Données projet'!$E$14+1,1))-AVERAGE(OFFSET($H$3,0,0,'Données projet'!$E$14+1,1))</f>
        <v>290.46086333591074</v>
      </c>
      <c r="DU6" s="62">
        <f t="shared" si="44"/>
        <v>236.8495901994267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0.9</v>
      </c>
      <c r="EJ6" s="13">
        <f>IF('Données projet'!$A$192&gt;35,EJ5+EI6-ER5,IF(A6&lt;'Données projet'!$A$192,$EG$205^A6,IF(A6='Données projet'!$A$192,'Données projet'!$B$192,EJ5+EI6-ER5)))</f>
        <v>1.9331820449317632</v>
      </c>
      <c r="EK6" s="18">
        <f>EJ6*VLOOKUP('Données projet'!$B$15,Paramètres!$A$1:$I$89,3,0)*VLOOKUP('Données projet'!$B$15,Paramètres!$A$1:$I$89,5,0)</f>
        <v>1.5681972748486466</v>
      </c>
      <c r="EL6" s="14">
        <f t="shared" si="45"/>
        <v>0.68581679886281277</v>
      </c>
      <c r="EM6" s="22">
        <f t="shared" si="19"/>
        <v>3.9257411783807914</v>
      </c>
      <c r="EN6" s="62">
        <f t="shared" si="20"/>
        <v>264.25907451171412</v>
      </c>
      <c r="EO6" s="62">
        <f ca="1">AVERAGE(OFFSET($EN$3,0,0,'Données projet'!$E$15+1,1))-AVERAGE(OFFSET($H$3,0,0,'Données projet'!$E$15+1,1))</f>
        <v>256.19915261735281</v>
      </c>
      <c r="EP6" s="62">
        <f t="shared" si="46"/>
        <v>297.47246687305056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0.2</v>
      </c>
      <c r="N7" s="14">
        <f>IF('Données projet'!$A$36&gt;35,N6+M7-V6,IF(A7&lt;'Données projet'!$A$36,$K$205^A7,IF(A7='Données projet'!$A$36,'Données projet'!$B$36,N6+M7-V6)))</f>
        <v>1.3403935662256525</v>
      </c>
      <c r="O7" s="14">
        <f>N7*VLOOKUP('Données projet'!$B$9,Paramètres!$A$1:$I$89,3,0)*VLOOKUP('Données projet'!$B$9,Paramètres!$A$1:$I$89,5,0)</f>
        <v>1.15005767982161</v>
      </c>
      <c r="P7" s="14">
        <f t="shared" si="33"/>
        <v>0.52143949588755778</v>
      </c>
      <c r="Q7" s="22">
        <f t="shared" si="2"/>
        <v>2.9111909143601333</v>
      </c>
      <c r="R7" s="62">
        <f t="shared" si="0"/>
        <v>264.46674646991568</v>
      </c>
      <c r="S7" s="62">
        <f ca="1">AVERAGE(OFFSET($R$3,0,0,'Données projet'!$E$9+1,1))-AVERAGE(OFFSET($H$3,0,0,'Données projet'!$E$9+1,1))</f>
        <v>446.27304516866047</v>
      </c>
      <c r="T7" s="62">
        <f t="shared" si="34"/>
        <v>230.82970731138215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1.9</v>
      </c>
      <c r="AI7" s="14">
        <f>IF('Données projet'!$A$62&gt;35,AI6+AH7-AQ6,IF(A7&lt;'Données projet'!$A$62,$AF$205^A7,IF(A7='Données projet'!$A$62,'Données projet'!$B$62,AI6+AH7-AQ6)))</f>
        <v>3.247143191135669</v>
      </c>
      <c r="AJ7" s="14">
        <f>AI7*VLOOKUP('Données projet'!$B$10,Paramètres!$A$1:$I$89,3,0)*VLOOKUP('Données projet'!$B$10,Paramètres!$A$1:$I$89,5,0)</f>
        <v>2.5834271228675387</v>
      </c>
      <c r="AK7" s="14">
        <f t="shared" si="35"/>
        <v>1.066028069701316</v>
      </c>
      <c r="AL7" s="22">
        <f t="shared" si="4"/>
        <v>6.3561344603907548</v>
      </c>
      <c r="AM7" s="62">
        <f t="shared" si="5"/>
        <v>267.91169001594631</v>
      </c>
      <c r="AN7" s="62">
        <f ca="1">AVERAGE(OFFSET($AM$3,0,0,'Données projet'!$E$10+1,1))-AVERAGE(OFFSET($H$3,0,0,'Données projet'!$E$10+1,1))</f>
        <v>427.78067187784063</v>
      </c>
      <c r="AO7" s="62">
        <f t="shared" si="36"/>
        <v>464.22892523825118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2.6666666666666665</v>
      </c>
      <c r="BD7" s="13">
        <f>IF('Données projet'!$A$88&gt;35,BD6+BC7-BL6,IF(A7&lt;'Données projet'!$A$88,$BA$205^A7,IF(A7='Données projet'!$A$88,'Données projet'!$B$88,BD6+BC7-BL6)))</f>
        <v>2.6743361672197152</v>
      </c>
      <c r="BE7" s="14">
        <f>BD7*VLOOKUP('Données projet'!$B$11,Paramètres!$A$1:$I$89,3,0)*VLOOKUP('Données projet'!$B$11,Paramètres!$A$1:$I$89,5,0)</f>
        <v>2.0859822104313781</v>
      </c>
      <c r="BF7" s="14">
        <f t="shared" si="37"/>
        <v>0.88245976121767966</v>
      </c>
      <c r="BG7" s="22">
        <f t="shared" si="7"/>
        <v>5.1700364339554419</v>
      </c>
      <c r="BH7" s="62">
        <f t="shared" si="8"/>
        <v>266.72559198951097</v>
      </c>
      <c r="BI7" s="62">
        <f ca="1">AVERAGE(OFFSET($BH$3,0,0,'Données projet'!$E$11+1,1))-AVERAGE(OFFSET($H$3,0,0,'Données projet'!$E$11+1,1))</f>
        <v>312.09994042858187</v>
      </c>
      <c r="BJ7" s="62">
        <f t="shared" si="38"/>
        <v>283.48738729114024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1.1000000000000001</v>
      </c>
      <c r="BY7" s="13">
        <f>IF('Données projet'!$A$114&gt;35,BY6+BX7-CG6,IF(A7&lt;'Données projet'!$A$114,$BV$205^A7,IF(A7='Données projet'!$A$114,'Données projet'!$B$114,BY6+BX7-CG6)))</f>
        <v>2.6094986352788743</v>
      </c>
      <c r="BZ7" s="14">
        <f>BY7*VLOOKUP('Données projet'!$B$12,Paramètres!$A$1:$I$89,3,0)*VLOOKUP('Données projet'!$B$12,Paramètres!$A$1:$I$89,5,0)</f>
        <v>2.0761171142278725</v>
      </c>
      <c r="CA7" s="14">
        <f t="shared" si="39"/>
        <v>0.87877116536856548</v>
      </c>
      <c r="CB7" s="22">
        <f t="shared" si="10"/>
        <v>5.14643042029713</v>
      </c>
      <c r="CC7" s="62">
        <f t="shared" si="11"/>
        <v>266.70198597585266</v>
      </c>
      <c r="CD7" s="62">
        <f ca="1">AVERAGE(OFFSET($CC$3,0,0,'Données projet'!$E$12+1,1))-AVERAGE(OFFSET($H$3,0,0,'Données projet'!$E$12+1,1))</f>
        <v>370.79299728190904</v>
      </c>
      <c r="CE7" s="62">
        <f t="shared" si="40"/>
        <v>404.95703400805775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2.2649572649572649</v>
      </c>
      <c r="CT7" s="13">
        <f>IF('Données projet'!$A$140&gt;35,CT6+CS7-DB6,IF(A7&lt;'Données projet'!$A$140,$CQ$205^A7,IF(A7='Données projet'!$A$140,'Données projet'!$B$140,CT6+CS7-DB6)))</f>
        <v>2.5603952077681624</v>
      </c>
      <c r="CU7" s="18">
        <f>CT7*VLOOKUP('Données projet'!$B$13,Paramètres!$A$1:$I$89,3,0)*VLOOKUP('Données projet'!$B$13,Paramètres!$A$1:$I$89,5,0)</f>
        <v>2.4364720797121833</v>
      </c>
      <c r="CV7" s="14">
        <f t="shared" si="41"/>
        <v>1.0122655860238423</v>
      </c>
      <c r="CW7" s="22">
        <f t="shared" si="13"/>
        <v>6.0065514344902446</v>
      </c>
      <c r="CX7" s="62">
        <f t="shared" si="14"/>
        <v>267.56210699004578</v>
      </c>
      <c r="CY7" s="62">
        <f ca="1">AVERAGE(OFFSET($CX$3,0,0,'Données projet'!$E$13+1,1))-AVERAGE(OFFSET($H$3,0,0,'Données projet'!$E$13+1,1))</f>
        <v>351.34897243264044</v>
      </c>
      <c r="CZ7" s="62">
        <f t="shared" si="42"/>
        <v>268.39685058071603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2.7777777777777777</v>
      </c>
      <c r="DO7" s="13">
        <f>IF('Données projet'!$A$166&gt;35,DO6+DN7-DW6,IF(A7&lt;'Données projet'!$A$166,$DL$205^A7,IF(A7='Données projet'!$A$166,'Données projet'!$B$166,DO6+DN7-DW6)))</f>
        <v>2.7036076639735231</v>
      </c>
      <c r="DP7" s="18">
        <f>DO7*VLOOKUP('Données projet'!$B$14,Paramètres!$A$1:$I$89,3,0)*VLOOKUP('Données projet'!$B$14,Paramètres!$A$1:$I$89,5,0)</f>
        <v>1.8135800209934394</v>
      </c>
      <c r="DQ7" s="14">
        <f t="shared" si="43"/>
        <v>0.77982133561325717</v>
      </c>
      <c r="DR7" s="22">
        <f t="shared" si="16"/>
        <v>4.5168406960899965</v>
      </c>
      <c r="DS7" s="62">
        <f t="shared" si="17"/>
        <v>266.07239625164556</v>
      </c>
      <c r="DT7" s="62">
        <f ca="1">AVERAGE(OFFSET($DS$3,0,0,'Données projet'!$E$14+1,1))-AVERAGE(OFFSET($H$3,0,0,'Données projet'!$E$14+1,1))</f>
        <v>290.46086333591074</v>
      </c>
      <c r="DU7" s="62">
        <f t="shared" si="44"/>
        <v>236.8495901994267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0.9</v>
      </c>
      <c r="EJ7" s="13">
        <f>IF('Données projet'!$A$192&gt;35,EJ6+EI7-ER6,IF(A7&lt;'Données projet'!$A$192,$EG$205^A7,IF(A7='Données projet'!$A$192,'Données projet'!$B$192,EJ6+EI7-ER6)))</f>
        <v>2.4082246852806923</v>
      </c>
      <c r="EK7" s="18">
        <f>EJ7*VLOOKUP('Données projet'!$B$15,Paramètres!$A$1:$I$89,3,0)*VLOOKUP('Données projet'!$B$15,Paramètres!$A$1:$I$89,5,0)</f>
        <v>1.9535518646996977</v>
      </c>
      <c r="EL7" s="14">
        <f t="shared" si="45"/>
        <v>0.83276983766381052</v>
      </c>
      <c r="EM7" s="22">
        <f t="shared" si="19"/>
        <v>4.8528436316164436</v>
      </c>
      <c r="EN7" s="62">
        <f t="shared" si="20"/>
        <v>266.40839918717199</v>
      </c>
      <c r="EO7" s="62">
        <f ca="1">AVERAGE(OFFSET($EN$3,0,0,'Données projet'!$E$15+1,1))-AVERAGE(OFFSET($H$3,0,0,'Données projet'!$E$15+1,1))</f>
        <v>256.19915261735281</v>
      </c>
      <c r="EP7" s="62">
        <f t="shared" si="46"/>
        <v>297.47246687305056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0.2</v>
      </c>
      <c r="N8" s="14">
        <f>IF('Données projet'!$A$36&gt;35,N7+M8-V7,IF(A8&lt;'Données projet'!$A$36,$K$205^A8,IF(A8='Données projet'!$A$36,'Données projet'!$B$36,N7+M8-V7)))</f>
        <v>1.4422495703074079</v>
      </c>
      <c r="O8" s="14">
        <f>N8*VLOOKUP('Données projet'!$B$9,Paramètres!$A$1:$I$89,3,0)*VLOOKUP('Données projet'!$B$9,Paramètres!$A$1:$I$89,5,0)</f>
        <v>1.2374501313237563</v>
      </c>
      <c r="P8" s="14">
        <f t="shared" si="33"/>
        <v>0.55630062256803769</v>
      </c>
      <c r="Q8" s="22">
        <f t="shared" si="2"/>
        <v>3.1241158963615412</v>
      </c>
      <c r="R8" s="62">
        <f t="shared" si="0"/>
        <v>265.90189367413933</v>
      </c>
      <c r="S8" s="62">
        <f ca="1">AVERAGE(OFFSET($R$3,0,0,'Données projet'!$E$9+1,1))-AVERAGE(OFFSET($H$3,0,0,'Données projet'!$E$9+1,1))</f>
        <v>446.27304516866047</v>
      </c>
      <c r="T8" s="62">
        <f t="shared" si="34"/>
        <v>230.82970731138215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1.9</v>
      </c>
      <c r="AI8" s="14">
        <f>IF('Données projet'!$A$62&gt;35,AI7+AH8-AQ7,IF(A8&lt;'Données projet'!$A$62,$AF$205^A8,IF(A8='Données projet'!$A$62,'Données projet'!$B$62,AI7+AH8-AQ7)))</f>
        <v>4.3588989435406749</v>
      </c>
      <c r="AJ8" s="14">
        <f>AI8*VLOOKUP('Données projet'!$B$10,Paramètres!$A$1:$I$89,3,0)*VLOOKUP('Données projet'!$B$10,Paramètres!$A$1:$I$89,5,0)</f>
        <v>3.467939999480961</v>
      </c>
      <c r="AK8" s="14">
        <f t="shared" si="35"/>
        <v>1.382799801337496</v>
      </c>
      <c r="AL8" s="22">
        <f t="shared" si="4"/>
        <v>8.4483718197588118</v>
      </c>
      <c r="AM8" s="62">
        <f t="shared" si="5"/>
        <v>271.22614959753656</v>
      </c>
      <c r="AN8" s="62">
        <f ca="1">AVERAGE(OFFSET($AM$3,0,0,'Données projet'!$E$10+1,1))-AVERAGE(OFFSET($H$3,0,0,'Données projet'!$E$10+1,1))</f>
        <v>427.78067187784063</v>
      </c>
      <c r="AO8" s="62">
        <f t="shared" si="36"/>
        <v>464.22892523825118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2.6666666666666665</v>
      </c>
      <c r="BD8" s="13">
        <f>IF('Données projet'!$A$88&gt;35,BD7+BC8-BL7,IF(A8&lt;'Données projet'!$A$88,$BA$205^A8,IF(A8='Données projet'!$A$88,'Données projet'!$B$88,BD7+BC8-BL7)))</f>
        <v>3.4199518933533928</v>
      </c>
      <c r="BE8" s="14">
        <f>BD8*VLOOKUP('Données projet'!$B$11,Paramètres!$A$1:$I$89,3,0)*VLOOKUP('Données projet'!$B$11,Paramètres!$A$1:$I$89,5,0)</f>
        <v>2.6675624768156463</v>
      </c>
      <c r="BF8" s="14">
        <f t="shared" si="37"/>
        <v>1.0966471776471767</v>
      </c>
      <c r="BG8" s="22">
        <f t="shared" si="7"/>
        <v>6.5559984815227494</v>
      </c>
      <c r="BH8" s="62">
        <f t="shared" si="8"/>
        <v>269.33377625930052</v>
      </c>
      <c r="BI8" s="62">
        <f ca="1">AVERAGE(OFFSET($BH$3,0,0,'Données projet'!$E$11+1,1))-AVERAGE(OFFSET($H$3,0,0,'Données projet'!$E$11+1,1))</f>
        <v>312.09994042858187</v>
      </c>
      <c r="BJ8" s="62">
        <f t="shared" si="38"/>
        <v>283.48738729114024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1.1000000000000001</v>
      </c>
      <c r="BY8" s="13">
        <f>IF('Données projet'!$A$114&gt;35,BY7+BX8-CG7,IF(A8&lt;'Données projet'!$A$114,$BV$205^A8,IF(A8='Données projet'!$A$114,'Données projet'!$B$114,BY7+BX8-CG7)))</f>
        <v>3.3166247903554016</v>
      </c>
      <c r="BZ8" s="14">
        <f>BY8*VLOOKUP('Données projet'!$B$12,Paramètres!$A$1:$I$89,3,0)*VLOOKUP('Données projet'!$B$12,Paramètres!$A$1:$I$89,5,0)</f>
        <v>2.6387066832067574</v>
      </c>
      <c r="CA8" s="14">
        <f t="shared" si="39"/>
        <v>1.0861586266766543</v>
      </c>
      <c r="CB8" s="22">
        <f t="shared" si="10"/>
        <v>6.4874737480469413</v>
      </c>
      <c r="CC8" s="62">
        <f t="shared" si="11"/>
        <v>269.26525152582474</v>
      </c>
      <c r="CD8" s="62">
        <f ca="1">AVERAGE(OFFSET($CC$3,0,0,'Données projet'!$E$12+1,1))-AVERAGE(OFFSET($H$3,0,0,'Données projet'!$E$12+1,1))</f>
        <v>370.79299728190904</v>
      </c>
      <c r="CE8" s="62">
        <f t="shared" si="40"/>
        <v>404.95703400805775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2.2649572649572649</v>
      </c>
      <c r="CT8" s="13">
        <f>IF('Données projet'!$A$140&gt;35,CT7+CS8-DB7,IF(A8&lt;'Données projet'!$A$140,$CQ$205^A8,IF(A8='Données projet'!$A$140,'Données projet'!$B$140,CT7+CS8-DB7)))</f>
        <v>3.2387972144185837</v>
      </c>
      <c r="CU8" s="18">
        <f>CT8*VLOOKUP('Données projet'!$B$13,Paramètres!$A$1:$I$89,3,0)*VLOOKUP('Données projet'!$B$13,Paramètres!$A$1:$I$89,5,0)</f>
        <v>3.0820394292407243</v>
      </c>
      <c r="CV8" s="14">
        <f t="shared" si="41"/>
        <v>1.2459180853304419</v>
      </c>
      <c r="CW8" s="22">
        <f t="shared" si="13"/>
        <v>7.5378593378781131</v>
      </c>
      <c r="CX8" s="62">
        <f t="shared" si="14"/>
        <v>270.31563711565587</v>
      </c>
      <c r="CY8" s="62">
        <f ca="1">AVERAGE(OFFSET($CX$3,0,0,'Données projet'!$E$13+1,1))-AVERAGE(OFFSET($H$3,0,0,'Données projet'!$E$13+1,1))</f>
        <v>351.34897243264044</v>
      </c>
      <c r="CZ8" s="62">
        <f t="shared" si="42"/>
        <v>268.39685058071603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2.7777777777777777</v>
      </c>
      <c r="DO8" s="13">
        <f>IF('Données projet'!$A$166&gt;35,DO7+DN8-DW7,IF(A8&lt;'Données projet'!$A$166,$DL$205^A8,IF(A8='Données projet'!$A$166,'Données projet'!$B$166,DO7+DN8-DW7)))</f>
        <v>3.4668063717531736</v>
      </c>
      <c r="DP8" s="18">
        <f>DO8*VLOOKUP('Données projet'!$B$14,Paramètres!$A$1:$I$89,3,0)*VLOOKUP('Données projet'!$B$14,Paramètres!$A$1:$I$89,5,0)</f>
        <v>2.3255337141720287</v>
      </c>
      <c r="DQ8" s="14">
        <f t="shared" si="43"/>
        <v>0.97142990659201334</v>
      </c>
      <c r="DR8" s="22">
        <f t="shared" si="16"/>
        <v>5.7422116394973726</v>
      </c>
      <c r="DS8" s="62">
        <f t="shared" si="17"/>
        <v>268.51998941727516</v>
      </c>
      <c r="DT8" s="62">
        <f ca="1">AVERAGE(OFFSET($DS$3,0,0,'Données projet'!$E$14+1,1))-AVERAGE(OFFSET($H$3,0,0,'Données projet'!$E$14+1,1))</f>
        <v>290.46086333591074</v>
      </c>
      <c r="DU8" s="62">
        <f t="shared" si="44"/>
        <v>236.8495901994267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0.9</v>
      </c>
      <c r="EJ8" s="13">
        <f>IF('Données projet'!$A$192&gt;35,EJ7+EI8-ER7,IF(A8&lt;'Données projet'!$A$192,$EG$205^A8,IF(A8='Données projet'!$A$192,'Données projet'!$B$192,EJ7+EI8-ER7)))</f>
        <v>3.0000000000000004</v>
      </c>
      <c r="EK8" s="18">
        <f>EJ8*VLOOKUP('Données projet'!$B$15,Paramètres!$A$1:$I$89,3,0)*VLOOKUP('Données projet'!$B$15,Paramètres!$A$1:$I$89,5,0)</f>
        <v>2.4336000000000007</v>
      </c>
      <c r="EL8" s="14">
        <f t="shared" si="45"/>
        <v>1.0112111626203177</v>
      </c>
      <c r="EM8" s="22">
        <f t="shared" si="19"/>
        <v>5.9997127748970547</v>
      </c>
      <c r="EN8" s="62">
        <f t="shared" si="20"/>
        <v>268.77749055267481</v>
      </c>
      <c r="EO8" s="62">
        <f ca="1">AVERAGE(OFFSET($EN$3,0,0,'Données projet'!$E$15+1,1))-AVERAGE(OFFSET($H$3,0,0,'Données projet'!$E$15+1,1))</f>
        <v>256.19915261735281</v>
      </c>
      <c r="EP8" s="62">
        <f t="shared" si="46"/>
        <v>297.47246687305056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0.2</v>
      </c>
      <c r="N9" s="14">
        <f>IF('Données projet'!$A$36&gt;35,N8+M9-V8,IF(A9&lt;'Données projet'!$A$36,$K$205^A9,IF(A9='Données projet'!$A$36,'Données projet'!$B$36,N8+M9-V8)))</f>
        <v>1.5518455739153589</v>
      </c>
      <c r="O9" s="14">
        <f>N9*VLOOKUP('Données projet'!$B$9,Paramètres!$A$1:$I$89,3,0)*VLOOKUP('Données projet'!$B$9,Paramètres!$A$1:$I$89,5,0)</f>
        <v>1.3314835024193781</v>
      </c>
      <c r="P9" s="14">
        <f t="shared" si="33"/>
        <v>0.59349240920622548</v>
      </c>
      <c r="Q9" s="22">
        <f t="shared" si="2"/>
        <v>3.3526663794145928</v>
      </c>
      <c r="R9" s="62">
        <f t="shared" si="0"/>
        <v>267.35266637941459</v>
      </c>
      <c r="S9" s="62">
        <f ca="1">AVERAGE(OFFSET($R$3,0,0,'Données projet'!$E$9+1,1))-AVERAGE(OFFSET($H$3,0,0,'Données projet'!$E$9+1,1))</f>
        <v>446.27304516866047</v>
      </c>
      <c r="T9" s="62">
        <f t="shared" si="34"/>
        <v>230.82970731138215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1.9</v>
      </c>
      <c r="AI9" s="14">
        <f>IF('Données projet'!$A$62&gt;35,AI8+AH9-AQ8,IF(A9&lt;'Données projet'!$A$62,$AF$205^A9,IF(A9='Données projet'!$A$62,'Données projet'!$B$62,AI8+AH9-AQ8)))</f>
        <v>5.8512972424092187</v>
      </c>
      <c r="AJ9" s="14">
        <f>AI9*VLOOKUP('Données projet'!$B$10,Paramètres!$A$1:$I$89,3,0)*VLOOKUP('Données projet'!$B$10,Paramètres!$A$1:$I$89,5,0)</f>
        <v>4.6552920860607747</v>
      </c>
      <c r="AK9" s="14">
        <f t="shared" si="35"/>
        <v>1.7937006960002178</v>
      </c>
      <c r="AL9" s="22">
        <f t="shared" si="4"/>
        <v>11.231995762089561</v>
      </c>
      <c r="AM9" s="62">
        <f t="shared" si="5"/>
        <v>275.23199576208958</v>
      </c>
      <c r="AN9" s="62">
        <f ca="1">AVERAGE(OFFSET($AM$3,0,0,'Données projet'!$E$10+1,1))-AVERAGE(OFFSET($H$3,0,0,'Données projet'!$E$10+1,1))</f>
        <v>427.78067187784063</v>
      </c>
      <c r="AO9" s="62">
        <f t="shared" si="36"/>
        <v>464.22892523825118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2.6666666666666665</v>
      </c>
      <c r="BD9" s="13">
        <f>IF('Données projet'!$A$88&gt;35,BD8+BC9-BL8,IF(A9&lt;'Données projet'!$A$88,$BA$205^A9,IF(A9='Données projet'!$A$88,'Données projet'!$B$88,BD8+BC9-BL8)))</f>
        <v>4.3734482957731098</v>
      </c>
      <c r="BE9" s="14">
        <f>BD9*VLOOKUP('Données projet'!$B$11,Paramètres!$A$1:$I$89,3,0)*VLOOKUP('Données projet'!$B$11,Paramètres!$A$1:$I$89,5,0)</f>
        <v>3.4112896707030256</v>
      </c>
      <c r="BF9" s="14">
        <f t="shared" si="37"/>
        <v>1.3628213830192535</v>
      </c>
      <c r="BG9" s="22">
        <f t="shared" si="7"/>
        <v>8.3149100852329703</v>
      </c>
      <c r="BH9" s="62">
        <f t="shared" si="8"/>
        <v>272.31491008523295</v>
      </c>
      <c r="BI9" s="62">
        <f ca="1">AVERAGE(OFFSET($BH$3,0,0,'Données projet'!$E$11+1,1))-AVERAGE(OFFSET($H$3,0,0,'Données projet'!$E$11+1,1))</f>
        <v>312.09994042858187</v>
      </c>
      <c r="BJ9" s="62">
        <f t="shared" si="38"/>
        <v>283.48738729114024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1.1000000000000001</v>
      </c>
      <c r="BY9" s="13">
        <f>IF('Données projet'!$A$114&gt;35,BY8+BX9-CG8,IF(A9&lt;'Données projet'!$A$114,$BV$205^A9,IF(A9='Données projet'!$A$114,'Données projet'!$B$114,BY8+BX9-CG8)))</f>
        <v>4.2153691330919028</v>
      </c>
      <c r="BZ9" s="14">
        <f>BY9*VLOOKUP('Données projet'!$B$12,Paramètres!$A$1:$I$89,3,0)*VLOOKUP('Données projet'!$B$12,Paramètres!$A$1:$I$89,5,0)</f>
        <v>3.353747682287918</v>
      </c>
      <c r="CA9" s="14">
        <f t="shared" si="39"/>
        <v>1.3424889309030987</v>
      </c>
      <c r="CB9" s="22">
        <f t="shared" si="10"/>
        <v>8.1792787679743544</v>
      </c>
      <c r="CC9" s="62">
        <f t="shared" si="11"/>
        <v>272.17927876797438</v>
      </c>
      <c r="CD9" s="62">
        <f ca="1">AVERAGE(OFFSET($CC$3,0,0,'Données projet'!$E$12+1,1))-AVERAGE(OFFSET($H$3,0,0,'Données projet'!$E$12+1,1))</f>
        <v>370.79299728190904</v>
      </c>
      <c r="CE9" s="62">
        <f t="shared" si="40"/>
        <v>404.95703400805775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2.2649572649572649</v>
      </c>
      <c r="CT9" s="13">
        <f>IF('Données projet'!$A$140&gt;35,CT8+CS9-DB8,IF(A9&lt;'Données projet'!$A$140,$CQ$205^A9,IF(A9='Données projet'!$A$140,'Données projet'!$B$140,CT8+CS9-DB8)))</f>
        <v>4.0969485352494868</v>
      </c>
      <c r="CU9" s="18">
        <f>CT9*VLOOKUP('Données projet'!$B$13,Paramètres!$A$1:$I$89,3,0)*VLOOKUP('Données projet'!$B$13,Paramètres!$A$1:$I$89,5,0)</f>
        <v>3.8986562261434119</v>
      </c>
      <c r="CV9" s="14">
        <f t="shared" si="41"/>
        <v>1.5335025676916687</v>
      </c>
      <c r="CW9" s="22">
        <f t="shared" si="13"/>
        <v>9.4610098992627645</v>
      </c>
      <c r="CX9" s="62">
        <f t="shared" si="14"/>
        <v>273.46100989926276</v>
      </c>
      <c r="CY9" s="62">
        <f ca="1">AVERAGE(OFFSET($CX$3,0,0,'Données projet'!$E$13+1,1))-AVERAGE(OFFSET($H$3,0,0,'Données projet'!$E$13+1,1))</f>
        <v>351.34897243264044</v>
      </c>
      <c r="CZ9" s="62">
        <f t="shared" si="42"/>
        <v>268.39685058071603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2.7777777777777777</v>
      </c>
      <c r="DO9" s="13">
        <f>IF('Données projet'!$A$166&gt;35,DO8+DN9-DW8,IF(A9&lt;'Données projet'!$A$166,$DL$205^A9,IF(A9='Données projet'!$A$166,'Données projet'!$B$166,DO8+DN9-DW8)))</f>
        <v>4.4454476806610002</v>
      </c>
      <c r="DP9" s="18">
        <f>DO9*VLOOKUP('Données projet'!$B$14,Paramètres!$A$1:$I$89,3,0)*VLOOKUP('Données projet'!$B$14,Paramètres!$A$1:$I$89,5,0)</f>
        <v>2.982006304187399</v>
      </c>
      <c r="DQ9" s="14">
        <f t="shared" si="43"/>
        <v>1.2101182929026357</v>
      </c>
      <c r="DR9" s="22">
        <f t="shared" si="16"/>
        <v>7.3012836732651438</v>
      </c>
      <c r="DS9" s="62">
        <f t="shared" si="17"/>
        <v>271.30128367326512</v>
      </c>
      <c r="DT9" s="62">
        <f ca="1">AVERAGE(OFFSET($DS$3,0,0,'Données projet'!$E$14+1,1))-AVERAGE(OFFSET($H$3,0,0,'Données projet'!$E$14+1,1))</f>
        <v>290.46086333591074</v>
      </c>
      <c r="DU9" s="62">
        <f t="shared" si="44"/>
        <v>236.8495901994267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0.9</v>
      </c>
      <c r="EJ9" s="13">
        <f>IF('Données projet'!$A$192&gt;35,EJ8+EI9-ER8,IF(A9&lt;'Données projet'!$A$192,$EG$205^A9,IF(A9='Données projet'!$A$192,'Données projet'!$B$192,EJ8+EI9-ER8)))</f>
        <v>3.7371928188465526</v>
      </c>
      <c r="EK9" s="18">
        <f>EJ9*VLOOKUP('Données projet'!$B$15,Paramètres!$A$1:$I$89,3,0)*VLOOKUP('Données projet'!$B$15,Paramètres!$A$1:$I$89,5,0)</f>
        <v>3.0316108146483236</v>
      </c>
      <c r="EL9" s="14">
        <f t="shared" si="45"/>
        <v>1.2278879099133964</v>
      </c>
      <c r="EM9" s="22">
        <f t="shared" si="19"/>
        <v>7.4186269452783291</v>
      </c>
      <c r="EN9" s="62">
        <f t="shared" si="20"/>
        <v>271.41862694527833</v>
      </c>
      <c r="EO9" s="62">
        <f ca="1">AVERAGE(OFFSET($EN$3,0,0,'Données projet'!$E$15+1,1))-AVERAGE(OFFSET($H$3,0,0,'Données projet'!$E$15+1,1))</f>
        <v>256.19915261735281</v>
      </c>
      <c r="EP9" s="62">
        <f t="shared" si="46"/>
        <v>297.47246687305056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0.2</v>
      </c>
      <c r="N10" s="14">
        <f>IF('Données projet'!$A$36&gt;35,N9+M10-V9,IF(A10&lt;'Données projet'!$A$36,$K$205^A10,IF(A10='Données projet'!$A$36,'Données projet'!$B$36,N9+M10-V9)))</f>
        <v>1.6697697367088757</v>
      </c>
      <c r="O10" s="14">
        <f>N10*VLOOKUP('Données projet'!$B$9,Paramètres!$A$1:$I$89,3,0)*VLOOKUP('Données projet'!$B$9,Paramètres!$A$1:$I$89,5,0)</f>
        <v>1.4326624340962155</v>
      </c>
      <c r="P10" s="14">
        <f t="shared" si="33"/>
        <v>0.63317067336614419</v>
      </c>
      <c r="Q10" s="22">
        <f t="shared" si="2"/>
        <v>3.5979926621636094</v>
      </c>
      <c r="R10" s="62">
        <f t="shared" si="0"/>
        <v>268.82021488438585</v>
      </c>
      <c r="S10" s="62">
        <f ca="1">AVERAGE(OFFSET($R$3,0,0,'Données projet'!$E$9+1,1))-AVERAGE(OFFSET($H$3,0,0,'Données projet'!$E$9+1,1))</f>
        <v>446.27304516866047</v>
      </c>
      <c r="T10" s="62">
        <f t="shared" si="34"/>
        <v>230.82970731138215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1.9</v>
      </c>
      <c r="AI10" s="14">
        <f>IF('Données projet'!$A$62&gt;35,AI9+AH10-AQ9,IF(A10&lt;'Données projet'!$A$62,$AF$205^A10,IF(A10='Données projet'!$A$62,'Données projet'!$B$62,AI9+AH10-AQ9)))</f>
        <v>7.8546623499408135</v>
      </c>
      <c r="AJ10" s="14">
        <f>AI10*VLOOKUP('Données projet'!$B$10,Paramètres!$A$1:$I$89,3,0)*VLOOKUP('Données projet'!$B$10,Paramètres!$A$1:$I$89,5,0)</f>
        <v>6.2491693656129108</v>
      </c>
      <c r="AK10" s="14">
        <f t="shared" si="35"/>
        <v>2.326701366112224</v>
      </c>
      <c r="AL10" s="22">
        <f t="shared" si="4"/>
        <v>14.936308191087944</v>
      </c>
      <c r="AM10" s="62">
        <f t="shared" si="5"/>
        <v>280.15853041331019</v>
      </c>
      <c r="AN10" s="62">
        <f ca="1">AVERAGE(OFFSET($AM$3,0,0,'Données projet'!$E$10+1,1))-AVERAGE(OFFSET($H$3,0,0,'Données projet'!$E$10+1,1))</f>
        <v>427.78067187784063</v>
      </c>
      <c r="AO10" s="62">
        <f t="shared" si="36"/>
        <v>464.22892523825118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2.6666666666666665</v>
      </c>
      <c r="BD10" s="13">
        <f>IF('Données projet'!$A$88&gt;35,BD9+BC10-BL9,IF(A10&lt;'Données projet'!$A$88,$BA$205^A10,IF(A10='Données projet'!$A$88,'Données projet'!$B$88,BD9+BC10-BL9)))</f>
        <v>5.5927833467405659</v>
      </c>
      <c r="BE10" s="14">
        <f>BD10*VLOOKUP('Données projet'!$B$11,Paramètres!$A$1:$I$89,3,0)*VLOOKUP('Données projet'!$B$11,Paramètres!$A$1:$I$89,5,0)</f>
        <v>4.3623710104576414</v>
      </c>
      <c r="BF10" s="14">
        <f t="shared" si="37"/>
        <v>1.6936004212396314</v>
      </c>
      <c r="BG10" s="22">
        <f t="shared" si="7"/>
        <v>10.54748357687275</v>
      </c>
      <c r="BH10" s="62">
        <f t="shared" si="8"/>
        <v>275.76970579909499</v>
      </c>
      <c r="BI10" s="62">
        <f ca="1">AVERAGE(OFFSET($BH$3,0,0,'Données projet'!$E$11+1,1))-AVERAGE(OFFSET($H$3,0,0,'Données projet'!$E$11+1,1))</f>
        <v>312.09994042858187</v>
      </c>
      <c r="BJ10" s="62">
        <f t="shared" si="38"/>
        <v>283.48738729114024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1.1000000000000001</v>
      </c>
      <c r="BY10" s="13">
        <f>IF('Données projet'!$A$114&gt;35,BY9+BX10-CG9,IF(A10&lt;'Données projet'!$A$114,$BV$205^A10,IF(A10='Données projet'!$A$114,'Données projet'!$B$114,BY9+BX10-CG9)))</f>
        <v>5.3576566694841175</v>
      </c>
      <c r="BZ10" s="14">
        <f>BY10*VLOOKUP('Données projet'!$B$12,Paramètres!$A$1:$I$89,3,0)*VLOOKUP('Données projet'!$B$12,Paramètres!$A$1:$I$89,5,0)</f>
        <v>4.2625516462415645</v>
      </c>
      <c r="CA10" s="14">
        <f t="shared" si="39"/>
        <v>1.6593124478620722</v>
      </c>
      <c r="CB10" s="22">
        <f t="shared" si="10"/>
        <v>10.313913297230501</v>
      </c>
      <c r="CC10" s="62">
        <f t="shared" si="11"/>
        <v>275.53613551945273</v>
      </c>
      <c r="CD10" s="62">
        <f ca="1">AVERAGE(OFFSET($CC$3,0,0,'Données projet'!$E$12+1,1))-AVERAGE(OFFSET($H$3,0,0,'Données projet'!$E$12+1,1))</f>
        <v>370.79299728190904</v>
      </c>
      <c r="CE10" s="62">
        <f t="shared" si="40"/>
        <v>404.95703400805775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2.2649572649572649</v>
      </c>
      <c r="CT10" s="13">
        <f>IF('Données projet'!$A$140&gt;35,CT9+CS10-DB9,IF(A10&lt;'Données projet'!$A$140,$CQ$205^A10,IF(A10='Données projet'!$A$140,'Données projet'!$B$140,CT9+CS10-DB9)))</f>
        <v>5.1824755269514737</v>
      </c>
      <c r="CU10" s="18">
        <f>CT10*VLOOKUP('Données projet'!$B$13,Paramètres!$A$1:$I$89,3,0)*VLOOKUP('Données projet'!$B$13,Paramètres!$A$1:$I$89,5,0)</f>
        <v>4.9316437114470224</v>
      </c>
      <c r="CV10" s="14">
        <f t="shared" si="41"/>
        <v>1.8874676857212829</v>
      </c>
      <c r="CW10" s="22">
        <f t="shared" si="13"/>
        <v>11.876619016734798</v>
      </c>
      <c r="CX10" s="62">
        <f t="shared" si="14"/>
        <v>277.09884123895705</v>
      </c>
      <c r="CY10" s="62">
        <f ca="1">AVERAGE(OFFSET($CX$3,0,0,'Données projet'!$E$13+1,1))-AVERAGE(OFFSET($H$3,0,0,'Données projet'!$E$13+1,1))</f>
        <v>351.34897243264044</v>
      </c>
      <c r="CZ10" s="62">
        <f t="shared" si="42"/>
        <v>268.39685058071603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2.7777777777777777</v>
      </c>
      <c r="DO10" s="13">
        <f>IF('Données projet'!$A$166&gt;35,DO9+DN10-DW9,IF(A10&lt;'Données projet'!$A$166,$DL$205^A10,IF(A10='Données projet'!$A$166,'Données projet'!$B$166,DO9+DN10-DW9)))</f>
        <v>5.7003486674395836</v>
      </c>
      <c r="DP10" s="18">
        <f>DO10*VLOOKUP('Données projet'!$B$14,Paramètres!$A$1:$I$89,3,0)*VLOOKUP('Données projet'!$B$14,Paramètres!$A$1:$I$89,5,0)</f>
        <v>3.8237938861184726</v>
      </c>
      <c r="DQ10" s="14">
        <f t="shared" si="43"/>
        <v>1.5074543957113413</v>
      </c>
      <c r="DR10" s="22">
        <f t="shared" si="16"/>
        <v>9.2852574241869252</v>
      </c>
      <c r="DS10" s="62">
        <f t="shared" si="17"/>
        <v>274.50747964640914</v>
      </c>
      <c r="DT10" s="62">
        <f ca="1">AVERAGE(OFFSET($DS$3,0,0,'Données projet'!$E$14+1,1))-AVERAGE(OFFSET($H$3,0,0,'Données projet'!$E$14+1,1))</f>
        <v>290.46086333591074</v>
      </c>
      <c r="DU10" s="62">
        <f t="shared" si="44"/>
        <v>236.8495901994267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0.9</v>
      </c>
      <c r="EJ10" s="13">
        <f>IF('Données projet'!$A$192&gt;35,EJ9+EI10-ER9,IF(A10&lt;'Données projet'!$A$192,$EG$205^A10,IF(A10='Données projet'!$A$192,'Données projet'!$B$192,EJ9+EI10-ER9)))</f>
        <v>4.6555367217460804</v>
      </c>
      <c r="EK10" s="18">
        <f>EJ10*VLOOKUP('Données projet'!$B$15,Paramètres!$A$1:$I$89,3,0)*VLOOKUP('Données projet'!$B$15,Paramètres!$A$1:$I$89,5,0)</f>
        <v>3.7765713886804204</v>
      </c>
      <c r="EL10" s="14">
        <f t="shared" si="45"/>
        <v>1.490992954829151</v>
      </c>
      <c r="EM10" s="22">
        <f t="shared" si="19"/>
        <v>9.1743412316125035</v>
      </c>
      <c r="EN10" s="62">
        <f t="shared" si="20"/>
        <v>274.39656345383474</v>
      </c>
      <c r="EO10" s="62">
        <f ca="1">AVERAGE(OFFSET($EN$3,0,0,'Données projet'!$E$15+1,1))-AVERAGE(OFFSET($H$3,0,0,'Données projet'!$E$15+1,1))</f>
        <v>256.19915261735281</v>
      </c>
      <c r="EP10" s="62">
        <f t="shared" si="46"/>
        <v>297.47246687305056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0.2</v>
      </c>
      <c r="N11" s="14">
        <f>IF('Données projet'!$A$36&gt;35,N10+M11-V10,IF(A11&lt;'Données projet'!$A$36,$K$205^A11,IF(A11='Données projet'!$A$36,'Données projet'!$B$36,N10+M11-V10)))</f>
        <v>1.7966549123791227</v>
      </c>
      <c r="O11" s="14">
        <f>N11*VLOOKUP('Données projet'!$B$9,Paramètres!$A$1:$I$89,3,0)*VLOOKUP('Données projet'!$B$9,Paramètres!$A$1:$I$89,5,0)</f>
        <v>1.5415299148212875</v>
      </c>
      <c r="P11" s="14">
        <f t="shared" si="33"/>
        <v>0.67550164988147465</v>
      </c>
      <c r="Q11" s="22">
        <f t="shared" si="2"/>
        <v>3.8613299751906442</v>
      </c>
      <c r="R11" s="62">
        <f t="shared" si="0"/>
        <v>270.3057744196351</v>
      </c>
      <c r="S11" s="62">
        <f ca="1">AVERAGE(OFFSET($R$3,0,0,'Données projet'!$E$9+1,1))-AVERAGE(OFFSET($H$3,0,0,'Données projet'!$E$9+1,1))</f>
        <v>446.27304516866047</v>
      </c>
      <c r="T11" s="62">
        <f t="shared" si="34"/>
        <v>230.82970731138215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1.9</v>
      </c>
      <c r="AI11" s="14">
        <f>IF('Données projet'!$A$62&gt;35,AI10+AH11-AQ10,IF(A11&lt;'Données projet'!$A$62,$AF$205^A11,IF(A11='Données projet'!$A$62,'Données projet'!$B$62,AI10+AH11-AQ10)))</f>
        <v>10.543938903738736</v>
      </c>
      <c r="AJ11" s="14">
        <f>AI11*VLOOKUP('Données projet'!$B$10,Paramètres!$A$1:$I$89,3,0)*VLOOKUP('Données projet'!$B$10,Paramètres!$A$1:$I$89,5,0)</f>
        <v>8.3887577918145393</v>
      </c>
      <c r="AK11" s="14">
        <f t="shared" si="35"/>
        <v>3.0180839306915423</v>
      </c>
      <c r="AL11" s="22">
        <f t="shared" si="4"/>
        <v>19.866916000031427</v>
      </c>
      <c r="AM11" s="62">
        <f t="shared" si="5"/>
        <v>286.31136044447589</v>
      </c>
      <c r="AN11" s="62">
        <f ca="1">AVERAGE(OFFSET($AM$3,0,0,'Données projet'!$E$10+1,1))-AVERAGE(OFFSET($H$3,0,0,'Données projet'!$E$10+1,1))</f>
        <v>427.78067187784063</v>
      </c>
      <c r="AO11" s="62">
        <f t="shared" si="36"/>
        <v>464.22892523825118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2.6666666666666665</v>
      </c>
      <c r="BD11" s="13">
        <f>IF('Données projet'!$A$88&gt;35,BD10+BC11-BL10,IF(A11&lt;'Données projet'!$A$88,$BA$205^A11,IF(A11='Données projet'!$A$88,'Données projet'!$B$88,BD10+BC11-BL10)))</f>
        <v>7.1520739352994367</v>
      </c>
      <c r="BE11" s="14">
        <f>BD11*VLOOKUP('Données projet'!$B$11,Paramètres!$A$1:$I$89,3,0)*VLOOKUP('Données projet'!$B$11,Paramètres!$A$1:$I$89,5,0)</f>
        <v>5.5786176695335605</v>
      </c>
      <c r="BF11" s="14">
        <f t="shared" si="37"/>
        <v>2.1046649418345189</v>
      </c>
      <c r="BG11" s="22">
        <f t="shared" si="7"/>
        <v>13.381717214799407</v>
      </c>
      <c r="BH11" s="62">
        <f t="shared" si="8"/>
        <v>279.82616165924384</v>
      </c>
      <c r="BI11" s="62">
        <f ca="1">AVERAGE(OFFSET($BH$3,0,0,'Données projet'!$E$11+1,1))-AVERAGE(OFFSET($H$3,0,0,'Données projet'!$E$11+1,1))</f>
        <v>312.09994042858187</v>
      </c>
      <c r="BJ11" s="62">
        <f t="shared" si="38"/>
        <v>283.48738729114024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1.1000000000000001</v>
      </c>
      <c r="BY11" s="13">
        <f>IF('Données projet'!$A$114&gt;35,BY10+BX11-CG10,IF(A11&lt;'Données projet'!$A$114,$BV$205^A11,IF(A11='Données projet'!$A$114,'Données projet'!$B$114,BY10+BX11-CG10)))</f>
        <v>6.8094831275223076</v>
      </c>
      <c r="BZ11" s="14">
        <f>BY11*VLOOKUP('Données projet'!$B$12,Paramètres!$A$1:$I$89,3,0)*VLOOKUP('Données projet'!$B$12,Paramètres!$A$1:$I$89,5,0)</f>
        <v>5.4176247762567487</v>
      </c>
      <c r="CA11" s="14">
        <f t="shared" si="39"/>
        <v>2.0509054013412618</v>
      </c>
      <c r="CB11" s="22">
        <f t="shared" si="10"/>
        <v>13.007690059316532</v>
      </c>
      <c r="CC11" s="62">
        <f t="shared" si="11"/>
        <v>279.45213450376099</v>
      </c>
      <c r="CD11" s="62">
        <f ca="1">AVERAGE(OFFSET($CC$3,0,0,'Données projet'!$E$12+1,1))-AVERAGE(OFFSET($H$3,0,0,'Données projet'!$E$12+1,1))</f>
        <v>370.79299728190904</v>
      </c>
      <c r="CE11" s="62">
        <f t="shared" si="40"/>
        <v>404.95703400805775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2.2649572649572649</v>
      </c>
      <c r="CT11" s="13">
        <f>IF('Données projet'!$A$140&gt;35,CT10+CS11-DB10,IF(A11&lt;'Données projet'!$A$140,$CQ$205^A11,IF(A11='Données projet'!$A$140,'Données projet'!$B$140,CT10+CS11-DB10)))</f>
        <v>6.555623619962172</v>
      </c>
      <c r="CU11" s="18">
        <f>CT11*VLOOKUP('Données projet'!$B$13,Paramètres!$A$1:$I$89,3,0)*VLOOKUP('Données projet'!$B$13,Paramètres!$A$1:$I$89,5,0)</f>
        <v>6.2383314367560025</v>
      </c>
      <c r="CV11" s="14">
        <f t="shared" si="41"/>
        <v>2.3231355067142938</v>
      </c>
      <c r="CW11" s="22">
        <f t="shared" si="13"/>
        <v>14.911221593210763</v>
      </c>
      <c r="CX11" s="62">
        <f t="shared" si="14"/>
        <v>281.35566603765523</v>
      </c>
      <c r="CY11" s="62">
        <f ca="1">AVERAGE(OFFSET($CX$3,0,0,'Données projet'!$E$13+1,1))-AVERAGE(OFFSET($H$3,0,0,'Données projet'!$E$13+1,1))</f>
        <v>351.34897243264044</v>
      </c>
      <c r="CZ11" s="62">
        <f t="shared" si="42"/>
        <v>268.39685058071603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2.7777777777777777</v>
      </c>
      <c r="DO11" s="13">
        <f>IF('Données projet'!$A$166&gt;35,DO10+DN11-DW10,IF(A11&lt;'Données projet'!$A$166,$DL$205^A11,IF(A11='Données projet'!$A$166,'Données projet'!$B$166,DO10+DN11-DW10)))</f>
        <v>7.3094944006963711</v>
      </c>
      <c r="DP11" s="18">
        <f>DO11*VLOOKUP('Données projet'!$B$14,Paramètres!$A$1:$I$89,3,0)*VLOOKUP('Données projet'!$B$14,Paramètres!$A$1:$I$89,5,0)</f>
        <v>4.9032088439871258</v>
      </c>
      <c r="DQ11" s="14">
        <f t="shared" si="43"/>
        <v>1.8778484454596058</v>
      </c>
      <c r="DR11" s="22">
        <f t="shared" si="16"/>
        <v>11.810341445786392</v>
      </c>
      <c r="DS11" s="62">
        <f t="shared" si="17"/>
        <v>278.25478589023083</v>
      </c>
      <c r="DT11" s="62">
        <f ca="1">AVERAGE(OFFSET($DS$3,0,0,'Données projet'!$E$14+1,1))-AVERAGE(OFFSET($H$3,0,0,'Données projet'!$E$14+1,1))</f>
        <v>290.46086333591074</v>
      </c>
      <c r="DU11" s="62">
        <f t="shared" si="44"/>
        <v>236.8495901994267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0.9</v>
      </c>
      <c r="EJ11" s="13">
        <f>IF('Données projet'!$A$192&gt;35,EJ10+EI11-ER10,IF(A11&lt;'Données projet'!$A$192,$EG$205^A11,IF(A11='Données projet'!$A$192,'Données projet'!$B$192,EJ10+EI11-ER10)))</f>
        <v>5.7995461347952899</v>
      </c>
      <c r="EK11" s="18">
        <f>EJ11*VLOOKUP('Données projet'!$B$15,Paramètres!$A$1:$I$89,3,0)*VLOOKUP('Données projet'!$B$15,Paramètres!$A$1:$I$89,5,0)</f>
        <v>4.7045918245459397</v>
      </c>
      <c r="EL11" s="14">
        <f t="shared" si="45"/>
        <v>1.8104746967554695</v>
      </c>
      <c r="EM11" s="22">
        <f t="shared" si="19"/>
        <v>11.347074191266621</v>
      </c>
      <c r="EN11" s="62">
        <f t="shared" si="20"/>
        <v>277.7915186357111</v>
      </c>
      <c r="EO11" s="62">
        <f ca="1">AVERAGE(OFFSET($EN$3,0,0,'Données projet'!$E$15+1,1))-AVERAGE(OFFSET($H$3,0,0,'Données projet'!$E$15+1,1))</f>
        <v>256.19915261735281</v>
      </c>
      <c r="EP11" s="62">
        <f t="shared" si="46"/>
        <v>297.47246687305056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0.2</v>
      </c>
      <c r="N12" s="14">
        <f>IF('Données projet'!$A$36&gt;35,N11+M12-V11,IF(A12&lt;'Données projet'!$A$36,$K$205^A12,IF(A12='Données projet'!$A$36,'Données projet'!$B$36,N11+M12-V11)))</f>
        <v>1.9331820449317612</v>
      </c>
      <c r="O12" s="14">
        <f>N12*VLOOKUP('Données projet'!$B$9,Paramètres!$A$1:$I$89,3,0)*VLOOKUP('Données projet'!$B$9,Paramètres!$A$1:$I$89,5,0)</f>
        <v>1.6586701945514515</v>
      </c>
      <c r="P12" s="14">
        <f t="shared" si="33"/>
        <v>0.72066268730789407</v>
      </c>
      <c r="Q12" s="22">
        <f t="shared" si="2"/>
        <v>4.1440047692383599</v>
      </c>
      <c r="R12" s="62">
        <f t="shared" si="0"/>
        <v>271.81067143590502</v>
      </c>
      <c r="S12" s="62">
        <f ca="1">AVERAGE(OFFSET($R$3,0,0,'Données projet'!$E$9+1,1))-AVERAGE(OFFSET($H$3,0,0,'Données projet'!$E$9+1,1))</f>
        <v>446.27304516866047</v>
      </c>
      <c r="T12" s="62">
        <f t="shared" si="34"/>
        <v>230.82970731138215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1.9</v>
      </c>
      <c r="AI12" s="14">
        <f>IF('Données projet'!$A$62&gt;35,AI11+AH12-AQ11,IF(A12&lt;'Données projet'!$A$62,$AF$205^A12,IF(A12='Données projet'!$A$62,'Données projet'!$B$62,AI11+AH12-AQ11)))</f>
        <v>14.153969025366564</v>
      </c>
      <c r="AJ12" s="14">
        <f>AI12*VLOOKUP('Données projet'!$B$10,Paramètres!$A$1:$I$89,3,0)*VLOOKUP('Données projet'!$B$10,Paramètres!$A$1:$I$89,5,0)</f>
        <v>11.260897756581638</v>
      </c>
      <c r="AK12" s="14">
        <f t="shared" si="35"/>
        <v>3.9149117911590028</v>
      </c>
      <c r="AL12" s="22">
        <f t="shared" si="4"/>
        <v>26.431201628981615</v>
      </c>
      <c r="AM12" s="62">
        <f t="shared" si="5"/>
        <v>294.09786829564831</v>
      </c>
      <c r="AN12" s="62">
        <f ca="1">AVERAGE(OFFSET($AM$3,0,0,'Données projet'!$E$10+1,1))-AVERAGE(OFFSET($H$3,0,0,'Données projet'!$E$10+1,1))</f>
        <v>427.78067187784063</v>
      </c>
      <c r="AO12" s="62">
        <f t="shared" si="36"/>
        <v>464.22892523825118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2.6666666666666665</v>
      </c>
      <c r="BD12" s="13">
        <f>IF('Données projet'!$A$88&gt;35,BD11+BC12-BL11,IF(A12&lt;'Données projet'!$A$88,$BA$205^A12,IF(A12='Données projet'!$A$88,'Données projet'!$B$88,BD11+BC12-BL11)))</f>
        <v>9.1461010385465205</v>
      </c>
      <c r="BE12" s="14">
        <f>BD12*VLOOKUP('Données projet'!$B$11,Paramètres!$A$1:$I$89,3,0)*VLOOKUP('Données projet'!$B$11,Paramètres!$A$1:$I$89,5,0)</f>
        <v>7.1339588100662858</v>
      </c>
      <c r="BF12" s="14">
        <f t="shared" si="37"/>
        <v>2.6155015444227643</v>
      </c>
      <c r="BG12" s="22">
        <f t="shared" si="7"/>
        <v>16.980310117401761</v>
      </c>
      <c r="BH12" s="62">
        <f t="shared" si="8"/>
        <v>284.64697678406844</v>
      </c>
      <c r="BI12" s="62">
        <f ca="1">AVERAGE(OFFSET($BH$3,0,0,'Données projet'!$E$11+1,1))-AVERAGE(OFFSET($H$3,0,0,'Données projet'!$E$11+1,1))</f>
        <v>312.09994042858187</v>
      </c>
      <c r="BJ12" s="62">
        <f t="shared" si="38"/>
        <v>283.48738729114024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1.1000000000000001</v>
      </c>
      <c r="BY12" s="13">
        <f>IF('Données projet'!$A$114&gt;35,BY11+BX12-CG11,IF(A12&lt;'Données projet'!$A$114,$BV$205^A12,IF(A12='Données projet'!$A$114,'Données projet'!$B$114,BY11+BX12-CG11)))</f>
        <v>8.6547278641645029</v>
      </c>
      <c r="BZ12" s="14">
        <f>BY12*VLOOKUP('Données projet'!$B$12,Paramètres!$A$1:$I$89,3,0)*VLOOKUP('Données projet'!$B$12,Paramètres!$A$1:$I$89,5,0)</f>
        <v>6.8857014887292793</v>
      </c>
      <c r="CA12" s="14">
        <f t="shared" si="39"/>
        <v>2.5349131627802968</v>
      </c>
      <c r="CB12" s="22">
        <f t="shared" si="10"/>
        <v>16.407570518045844</v>
      </c>
      <c r="CC12" s="62">
        <f t="shared" si="11"/>
        <v>284.0742371847125</v>
      </c>
      <c r="CD12" s="62">
        <f ca="1">AVERAGE(OFFSET($CC$3,0,0,'Données projet'!$E$12+1,1))-AVERAGE(OFFSET($H$3,0,0,'Données projet'!$E$12+1,1))</f>
        <v>370.79299728190904</v>
      </c>
      <c r="CE12" s="62">
        <f t="shared" si="40"/>
        <v>404.95703400805775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2.2649572649572649</v>
      </c>
      <c r="CT12" s="13">
        <f>IF('Données projet'!$A$140&gt;35,CT11+CS12-DB11,IF(A12&lt;'Données projet'!$A$140,$CQ$205^A12,IF(A12='Données projet'!$A$140,'Données projet'!$B$140,CT11+CS12-DB11)))</f>
        <v>8.2926008667302167</v>
      </c>
      <c r="CU12" s="18">
        <f>CT12*VLOOKUP('Données projet'!$B$13,Paramètres!$A$1:$I$89,3,0)*VLOOKUP('Données projet'!$B$13,Paramètres!$A$1:$I$89,5,0)</f>
        <v>7.8912389847804736</v>
      </c>
      <c r="CV12" s="14">
        <f t="shared" si="41"/>
        <v>2.8593647580749275</v>
      </c>
      <c r="CW12" s="22">
        <f t="shared" si="13"/>
        <v>18.723968185473154</v>
      </c>
      <c r="CX12" s="62">
        <f t="shared" si="14"/>
        <v>286.39063485213984</v>
      </c>
      <c r="CY12" s="62">
        <f ca="1">AVERAGE(OFFSET($CX$3,0,0,'Données projet'!$E$13+1,1))-AVERAGE(OFFSET($H$3,0,0,'Données projet'!$E$13+1,1))</f>
        <v>351.34897243264044</v>
      </c>
      <c r="CZ12" s="62">
        <f t="shared" si="42"/>
        <v>268.39685058071603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2.7777777777777777</v>
      </c>
      <c r="DO12" s="13">
        <f>IF('Données projet'!$A$166&gt;35,DO11+DN12-DW11,IF(A12&lt;'Données projet'!$A$166,$DL$205^A12,IF(A12='Données projet'!$A$166,'Données projet'!$B$166,DO11+DN12-DW11)))</f>
        <v>9.3728842761841236</v>
      </c>
      <c r="DP12" s="18">
        <f>DO12*VLOOKUP('Données projet'!$B$14,Paramètres!$A$1:$I$89,3,0)*VLOOKUP('Données projet'!$B$14,Paramètres!$A$1:$I$89,5,0)</f>
        <v>6.2873307724643102</v>
      </c>
      <c r="DQ12" s="14">
        <f t="shared" si="43"/>
        <v>2.3392513857449408</v>
      </c>
      <c r="DR12" s="22">
        <f t="shared" si="16"/>
        <v>15.024630592214445</v>
      </c>
      <c r="DS12" s="62">
        <f t="shared" si="17"/>
        <v>282.69129725888115</v>
      </c>
      <c r="DT12" s="62">
        <f ca="1">AVERAGE(OFFSET($DS$3,0,0,'Données projet'!$E$14+1,1))-AVERAGE(OFFSET($H$3,0,0,'Données projet'!$E$14+1,1))</f>
        <v>290.46086333591074</v>
      </c>
      <c r="DU12" s="62">
        <f t="shared" si="44"/>
        <v>236.8495901994267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0.9</v>
      </c>
      <c r="EJ12" s="13">
        <f>IF('Données projet'!$A$192&gt;35,EJ11+EI12-ER11,IF(A12&lt;'Données projet'!$A$192,$EG$205^A12,IF(A12='Données projet'!$A$192,'Données projet'!$B$192,EJ11+EI12-ER11)))</f>
        <v>7.2246740558420788</v>
      </c>
      <c r="EK12" s="18">
        <f>EJ12*VLOOKUP('Données projet'!$B$15,Paramètres!$A$1:$I$89,3,0)*VLOOKUP('Données projet'!$B$15,Paramètres!$A$1:$I$89,5,0)</f>
        <v>5.8606555940990948</v>
      </c>
      <c r="EL12" s="14">
        <f t="shared" si="45"/>
        <v>2.1984132231982314</v>
      </c>
      <c r="EM12" s="22">
        <f t="shared" si="19"/>
        <v>14.036211523459508</v>
      </c>
      <c r="EN12" s="62">
        <f t="shared" si="20"/>
        <v>281.70287819012617</v>
      </c>
      <c r="EO12" s="62">
        <f ca="1">AVERAGE(OFFSET($EN$3,0,0,'Données projet'!$E$15+1,1))-AVERAGE(OFFSET($H$3,0,0,'Données projet'!$E$15+1,1))</f>
        <v>256.19915261735281</v>
      </c>
      <c r="EP12" s="62">
        <f t="shared" si="46"/>
        <v>297.47246687305056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0.2</v>
      </c>
      <c r="N13" s="14">
        <f>IF('Données projet'!$A$36&gt;35,N12+M13-V12,IF(A13&lt;'Données projet'!$A$36,$K$205^A13,IF(A13='Données projet'!$A$36,'Données projet'!$B$36,N12+M13-V12)))</f>
        <v>2.0800838230519023</v>
      </c>
      <c r="O13" s="14">
        <f>N13*VLOOKUP('Données projet'!$B$9,Paramètres!$A$1:$I$89,3,0)*VLOOKUP('Données projet'!$B$9,Paramètres!$A$1:$I$89,5,0)</f>
        <v>1.7847119201785324</v>
      </c>
      <c r="P13" s="14">
        <f t="shared" si="33"/>
        <v>0.76884299093712483</v>
      </c>
      <c r="Q13" s="22">
        <f t="shared" si="2"/>
        <v>4.4474414701931027</v>
      </c>
      <c r="R13" s="62">
        <f t="shared" si="0"/>
        <v>273.33633035908196</v>
      </c>
      <c r="S13" s="62">
        <f ca="1">AVERAGE(OFFSET($R$3,0,0,'Données projet'!$E$9+1,1))-AVERAGE(OFFSET($H$3,0,0,'Données projet'!$E$9+1,1))</f>
        <v>446.27304516866047</v>
      </c>
      <c r="T13" s="62">
        <f t="shared" si="34"/>
        <v>230.82970731138215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>
        <f>VLOOKUP(A13,'Données projet'!$A$61:$I$81,2,0)</f>
        <v>19</v>
      </c>
      <c r="AG13" s="13">
        <f>VLOOKUP(A13,'Données projet'!$A$61:$I$81,9,0)</f>
        <v>1.9</v>
      </c>
      <c r="AH13" s="13">
        <f t="array" ref="AH13">INDEX(AG:AG,MIN(IF(ISNUMBER(AG13:AG209),ROW(AG13:AG209),"")))</f>
        <v>1.9</v>
      </c>
      <c r="AI13" s="14">
        <f>IF('Données projet'!$A$62&gt;35,AI12+AH13-AQ12,IF(A13&lt;'Données projet'!$A$62,$AF$205^A13,IF(A13='Données projet'!$A$62,'Données projet'!$B$62,AI12+AH13-AQ12)))</f>
        <v>19</v>
      </c>
      <c r="AJ13" s="14">
        <f>AI13*VLOOKUP('Données projet'!$B$10,Paramètres!$A$1:$I$89,3,0)*VLOOKUP('Données projet'!$B$10,Paramètres!$A$1:$I$89,5,0)</f>
        <v>15.116400000000001</v>
      </c>
      <c r="AK13" s="14">
        <f t="shared" si="35"/>
        <v>5.0782333044806913</v>
      </c>
      <c r="AL13" s="22">
        <f t="shared" si="4"/>
        <v>35.172319671970541</v>
      </c>
      <c r="AM13" s="62">
        <f t="shared" si="5"/>
        <v>304.06120856085943</v>
      </c>
      <c r="AN13" s="62">
        <f ca="1">AVERAGE(OFFSET($AM$3,0,0,'Données projet'!$E$10+1,1))-AVERAGE(OFFSET($H$3,0,0,'Données projet'!$E$10+1,1))</f>
        <v>427.78067187784063</v>
      </c>
      <c r="AO13" s="62">
        <f t="shared" si="36"/>
        <v>464.22892523825118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2.6666666666666665</v>
      </c>
      <c r="BD13" s="13">
        <f>IF('Données projet'!$A$88&gt;35,BD12+BC13-BL12,IF(A13&lt;'Données projet'!$A$88,$BA$205^A13,IF(A13='Données projet'!$A$88,'Données projet'!$B$88,BD12+BC13-BL12)))</f>
        <v>11.696070952851455</v>
      </c>
      <c r="BE13" s="14">
        <f>BD13*VLOOKUP('Données projet'!$B$11,Paramètres!$A$1:$I$89,3,0)*VLOOKUP('Données projet'!$B$11,Paramètres!$A$1:$I$89,5,0)</f>
        <v>9.1229353432241354</v>
      </c>
      <c r="BF13" s="14">
        <f t="shared" si="37"/>
        <v>3.2503265450485803</v>
      </c>
      <c r="BG13" s="22">
        <f t="shared" si="7"/>
        <v>21.550097788741649</v>
      </c>
      <c r="BH13" s="62">
        <f t="shared" si="8"/>
        <v>290.43898667763051</v>
      </c>
      <c r="BI13" s="62">
        <f ca="1">AVERAGE(OFFSET($BH$3,0,0,'Données projet'!$E$11+1,1))-AVERAGE(OFFSET($H$3,0,0,'Données projet'!$E$11+1,1))</f>
        <v>312.09994042858187</v>
      </c>
      <c r="BJ13" s="62">
        <f t="shared" si="38"/>
        <v>283.48738729114024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>
        <f>VLOOKUP(A13,'Données projet'!$A$113:$I$133,2,0)</f>
        <v>11</v>
      </c>
      <c r="BW13" s="13">
        <f>VLOOKUP(A13,'Données projet'!$A$113:$I$133,9,0)</f>
        <v>1.1000000000000001</v>
      </c>
      <c r="BX13" s="13">
        <f t="array" ref="BX13">INDEX(BW:BW,MIN(IF(ISNUMBER(BW13:BW209),ROW(BW13:BW209),"")))</f>
        <v>1.1000000000000001</v>
      </c>
      <c r="BY13" s="13">
        <f>IF('Données projet'!$A$114&gt;35,BY12+BX13-CG12,IF(A13&lt;'Données projet'!$A$114,$BV$205^A13,IF(A13='Données projet'!$A$114,'Données projet'!$B$114,BY12+BX13-CG12)))</f>
        <v>11</v>
      </c>
      <c r="BZ13" s="14">
        <f>BY13*VLOOKUP('Données projet'!$B$12,Paramètres!$A$1:$I$89,3,0)*VLOOKUP('Données projet'!$B$12,Paramètres!$A$1:$I$89,5,0)</f>
        <v>8.7516000000000016</v>
      </c>
      <c r="CA13" s="14">
        <f t="shared" si="39"/>
        <v>3.1331453604025001</v>
      </c>
      <c r="CB13" s="22">
        <f t="shared" si="10"/>
        <v>20.699264836034356</v>
      </c>
      <c r="CC13" s="62">
        <f t="shared" si="11"/>
        <v>289.58815372492319</v>
      </c>
      <c r="CD13" s="62">
        <f ca="1">AVERAGE(OFFSET($CC$3,0,0,'Données projet'!$E$12+1,1))-AVERAGE(OFFSET($H$3,0,0,'Données projet'!$E$12+1,1))</f>
        <v>370.79299728190904</v>
      </c>
      <c r="CE13" s="62">
        <f t="shared" si="40"/>
        <v>404.95703400805775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2.2649572649572649</v>
      </c>
      <c r="CT13" s="13">
        <f>IF('Données projet'!$A$140&gt;35,CT12+CS13-DB12,IF(A13&lt;'Données projet'!$A$140,$CQ$205^A13,IF(A13='Données projet'!$A$140,'Données projet'!$B$140,CT12+CS13-DB12)))</f>
        <v>10.489807396125579</v>
      </c>
      <c r="CU13" s="18">
        <f>CT13*VLOOKUP('Données projet'!$B$13,Paramètres!$A$1:$I$89,3,0)*VLOOKUP('Données projet'!$B$13,Paramètres!$A$1:$I$89,5,0)</f>
        <v>9.9821007181531005</v>
      </c>
      <c r="CV13" s="14">
        <f t="shared" si="41"/>
        <v>3.5193671639432234</v>
      </c>
      <c r="CW13" s="22">
        <f t="shared" si="13"/>
        <v>23.515056561317763</v>
      </c>
      <c r="CX13" s="62">
        <f t="shared" si="14"/>
        <v>292.40394545020661</v>
      </c>
      <c r="CY13" s="62">
        <f ca="1">AVERAGE(OFFSET($CX$3,0,0,'Données projet'!$E$13+1,1))-AVERAGE(OFFSET($H$3,0,0,'Données projet'!$E$13+1,1))</f>
        <v>351.34897243264044</v>
      </c>
      <c r="CZ13" s="62">
        <f t="shared" si="42"/>
        <v>268.39685058071603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2.7777777777777777</v>
      </c>
      <c r="DO13" s="13">
        <f>IF('Données projet'!$A$166&gt;35,DO12+DN13-DW12,IF(A13&lt;'Données projet'!$A$166,$DL$205^A13,IF(A13='Données projet'!$A$166,'Données projet'!$B$166,DO12+DN13-DW12)))</f>
        <v>12.018746419228403</v>
      </c>
      <c r="DP13" s="18">
        <f>DO13*VLOOKUP('Données projet'!$B$14,Paramètres!$A$1:$I$89,3,0)*VLOOKUP('Données projet'!$B$14,Paramètres!$A$1:$I$89,5,0)</f>
        <v>8.0621750980184128</v>
      </c>
      <c r="DQ13" s="14">
        <f t="shared" si="43"/>
        <v>2.9140248559144633</v>
      </c>
      <c r="DR13" s="22">
        <f t="shared" si="16"/>
        <v>19.116881586433095</v>
      </c>
      <c r="DS13" s="62">
        <f t="shared" si="17"/>
        <v>288.00577047532192</v>
      </c>
      <c r="DT13" s="62">
        <f ca="1">AVERAGE(OFFSET($DS$3,0,0,'Données projet'!$E$14+1,1))-AVERAGE(OFFSET($H$3,0,0,'Données projet'!$E$14+1,1))</f>
        <v>290.46086333591074</v>
      </c>
      <c r="DU13" s="62">
        <f t="shared" si="44"/>
        <v>236.8495901994267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>
        <f>VLOOKUP(A13,'Données projet'!$A$191:$I$211,2,0)</f>
        <v>9</v>
      </c>
      <c r="EH13" s="13">
        <f>VLOOKUP(A13,'Données projet'!$A$191:$I$211,9,0)</f>
        <v>0.9</v>
      </c>
      <c r="EI13" s="13">
        <f t="array" ref="EI13">INDEX(EH:EH,MIN(IF(ISNUMBER(EH13:EH209),ROW(EH13:EH209),"")))</f>
        <v>0.9</v>
      </c>
      <c r="EJ13" s="13">
        <f>IF('Données projet'!$A$192&gt;35,EJ12+EI13-ER12,IF(A13&lt;'Données projet'!$A$192,$EG$205^A13,IF(A13='Données projet'!$A$192,'Données projet'!$B$192,EJ12+EI13-ER12)))</f>
        <v>9</v>
      </c>
      <c r="EK13" s="18">
        <f>EJ13*VLOOKUP('Données projet'!$B$15,Paramètres!$A$1:$I$89,3,0)*VLOOKUP('Données projet'!$B$15,Paramètres!$A$1:$I$89,5,0)</f>
        <v>7.3007999999999997</v>
      </c>
      <c r="EL13" s="14">
        <f t="shared" si="45"/>
        <v>2.6694770761469542</v>
      </c>
      <c r="EM13" s="22">
        <f t="shared" si="19"/>
        <v>17.364899240955943</v>
      </c>
      <c r="EN13" s="62">
        <f t="shared" si="20"/>
        <v>286.25378812984479</v>
      </c>
      <c r="EO13" s="62">
        <f ca="1">AVERAGE(OFFSET($EN$3,0,0,'Données projet'!$E$15+1,1))-AVERAGE(OFFSET($H$3,0,0,'Données projet'!$E$15+1,1))</f>
        <v>256.19915261735281</v>
      </c>
      <c r="EP13" s="62">
        <f t="shared" si="46"/>
        <v>297.47246687305056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0.2</v>
      </c>
      <c r="N14" s="14">
        <f>IF('Données projet'!$A$36&gt;35,N13+M14-V13,IF(A14&lt;'Données projet'!$A$36,$K$205^A14,IF(A14='Données projet'!$A$36,'Données projet'!$B$36,N13+M14-V13)))</f>
        <v>2.2381486121628789</v>
      </c>
      <c r="O14" s="14">
        <f>N14*VLOOKUP('Données projet'!$B$9,Paramètres!$A$1:$I$89,3,0)*VLOOKUP('Données projet'!$B$9,Paramètres!$A$1:$I$89,5,0)</f>
        <v>1.9203315092357502</v>
      </c>
      <c r="P14" s="14">
        <f t="shared" si="33"/>
        <v>0.8202444154855979</v>
      </c>
      <c r="Q14" s="22">
        <f t="shared" si="2"/>
        <v>4.7731697355563476</v>
      </c>
      <c r="R14" s="62">
        <f t="shared" si="0"/>
        <v>274.88428084666748</v>
      </c>
      <c r="S14" s="62">
        <f ca="1">AVERAGE(OFFSET($R$3,0,0,'Données projet'!$E$9+1,1))-AVERAGE(OFFSET($H$3,0,0,'Données projet'!$E$9+1,1))</f>
        <v>446.27304516866047</v>
      </c>
      <c r="T14" s="62">
        <f t="shared" si="34"/>
        <v>230.82970731138215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14.6</v>
      </c>
      <c r="AI14" s="14">
        <f>IF('Données projet'!$A$62&gt;35,AI13+AH14-AQ13,IF(A14&lt;'Données projet'!$A$62,$AF$205^A14,IF(A14='Données projet'!$A$62,'Données projet'!$B$62,AI13+AH14-AQ13)))</f>
        <v>33.6</v>
      </c>
      <c r="AJ14" s="14">
        <f>AI14*VLOOKUP('Données projet'!$B$10,Paramètres!$A$1:$I$89,3,0)*VLOOKUP('Données projet'!$B$10,Paramètres!$A$1:$I$89,5,0)</f>
        <v>26.732160000000004</v>
      </c>
      <c r="AK14" s="14">
        <f t="shared" si="35"/>
        <v>8.4038705306032053</v>
      </c>
      <c r="AL14" s="22">
        <f t="shared" si="4"/>
        <v>61.195253174133917</v>
      </c>
      <c r="AM14" s="62">
        <f t="shared" si="5"/>
        <v>331.30636428524508</v>
      </c>
      <c r="AN14" s="62">
        <f ca="1">AVERAGE(OFFSET($AM$3,0,0,'Données projet'!$E$10+1,1))-AVERAGE(OFFSET($H$3,0,0,'Données projet'!$E$10+1,1))</f>
        <v>427.78067187784063</v>
      </c>
      <c r="AO14" s="62">
        <f t="shared" si="36"/>
        <v>464.22892523825118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2.6666666666666665</v>
      </c>
      <c r="BD14" s="13">
        <f>IF('Données projet'!$A$88&gt;35,BD13+BC14-BL13,IF(A14&lt;'Données projet'!$A$88,$BA$205^A14,IF(A14='Données projet'!$A$88,'Données projet'!$B$88,BD13+BC14-BL13)))</f>
        <v>14.956982779612416</v>
      </c>
      <c r="BE14" s="14">
        <f>BD14*VLOOKUP('Données projet'!$B$11,Paramètres!$A$1:$I$89,3,0)*VLOOKUP('Données projet'!$B$11,Paramètres!$A$1:$I$89,5,0)</f>
        <v>11.666446568097685</v>
      </c>
      <c r="BF14" s="14">
        <f t="shared" si="37"/>
        <v>4.0392339557111736</v>
      </c>
      <c r="BG14" s="22">
        <f t="shared" si="7"/>
        <v>27.354060245633761</v>
      </c>
      <c r="BH14" s="62">
        <f t="shared" si="8"/>
        <v>297.46517135674492</v>
      </c>
      <c r="BI14" s="62">
        <f ca="1">AVERAGE(OFFSET($BH$3,0,0,'Données projet'!$E$11+1,1))-AVERAGE(OFFSET($H$3,0,0,'Données projet'!$E$11+1,1))</f>
        <v>312.09994042858187</v>
      </c>
      <c r="BJ14" s="62">
        <f t="shared" si="38"/>
        <v>283.48738729114024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10.8</v>
      </c>
      <c r="BY14" s="13">
        <f>IF('Données projet'!$A$114&gt;35,BY13+BX14-CG13,IF(A14&lt;'Données projet'!$A$114,$BV$205^A14,IF(A14='Données projet'!$A$114,'Données projet'!$B$114,BY13+BX14-CG13)))</f>
        <v>21.8</v>
      </c>
      <c r="BZ14" s="14">
        <f>BY14*VLOOKUP('Données projet'!$B$12,Paramètres!$A$1:$I$89,3,0)*VLOOKUP('Données projet'!$B$12,Paramètres!$A$1:$I$89,5,0)</f>
        <v>17.344080000000002</v>
      </c>
      <c r="CA14" s="14">
        <f t="shared" si="39"/>
        <v>5.7341113912136308</v>
      </c>
      <c r="CB14" s="22">
        <f t="shared" si="10"/>
        <v>40.194516673030414</v>
      </c>
      <c r="CC14" s="62">
        <f t="shared" si="11"/>
        <v>310.30562778414156</v>
      </c>
      <c r="CD14" s="62">
        <f ca="1">AVERAGE(OFFSET($CC$3,0,0,'Données projet'!$E$12+1,1))-AVERAGE(OFFSET($H$3,0,0,'Données projet'!$E$12+1,1))</f>
        <v>370.79299728190904</v>
      </c>
      <c r="CE14" s="62">
        <f t="shared" si="40"/>
        <v>404.95703400805775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2.2649572649572649</v>
      </c>
      <c r="CT14" s="13">
        <f>IF('Données projet'!$A$140&gt;35,CT13+CS14-DB13,IF(A14&lt;'Données projet'!$A$140,$CQ$205^A14,IF(A14='Données projet'!$A$140,'Données projet'!$B$140,CT13+CS14-DB13)))</f>
        <v>13.269185503582337</v>
      </c>
      <c r="CU14" s="18">
        <f>CT14*VLOOKUP('Données projet'!$B$13,Paramètres!$A$1:$I$89,3,0)*VLOOKUP('Données projet'!$B$13,Paramètres!$A$1:$I$89,5,0)</f>
        <v>12.626956925208951</v>
      </c>
      <c r="CV14" s="14">
        <f t="shared" si="41"/>
        <v>4.3317122097359233</v>
      </c>
      <c r="CW14" s="22">
        <f t="shared" si="13"/>
        <v>29.536348743362321</v>
      </c>
      <c r="CX14" s="62">
        <f t="shared" si="14"/>
        <v>299.64745985447348</v>
      </c>
      <c r="CY14" s="62">
        <f ca="1">AVERAGE(OFFSET($CX$3,0,0,'Données projet'!$E$13+1,1))-AVERAGE(OFFSET($H$3,0,0,'Données projet'!$E$13+1,1))</f>
        <v>351.34897243264044</v>
      </c>
      <c r="CZ14" s="62">
        <f t="shared" si="42"/>
        <v>268.39685058071603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2.7777777777777777</v>
      </c>
      <c r="DO14" s="13">
        <f>IF('Données projet'!$A$166&gt;35,DO13+DN14-DW13,IF(A14&lt;'Données projet'!$A$166,$DL$205^A14,IF(A14='Données projet'!$A$166,'Données projet'!$B$166,DO13+DN14-DW13)))</f>
        <v>15.41150634461092</v>
      </c>
      <c r="DP14" s="18">
        <f>DO14*VLOOKUP('Données projet'!$B$14,Paramètres!$A$1:$I$89,3,0)*VLOOKUP('Données projet'!$B$14,Paramètres!$A$1:$I$89,5,0)</f>
        <v>10.338038455965005</v>
      </c>
      <c r="DQ14" s="14">
        <f t="shared" si="43"/>
        <v>3.6300249355984251</v>
      </c>
      <c r="DR14" s="22">
        <f t="shared" si="16"/>
        <v>24.327710406972969</v>
      </c>
      <c r="DS14" s="62">
        <f t="shared" si="17"/>
        <v>294.43882151808413</v>
      </c>
      <c r="DT14" s="62">
        <f ca="1">AVERAGE(OFFSET($DS$3,0,0,'Données projet'!$E$14+1,1))-AVERAGE(OFFSET($H$3,0,0,'Données projet'!$E$14+1,1))</f>
        <v>290.46086333591074</v>
      </c>
      <c r="DU14" s="62">
        <f t="shared" si="44"/>
        <v>236.8495901994267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8</v>
      </c>
      <c r="EJ14" s="13">
        <f>IF('Données projet'!$A$192&gt;35,EJ13+EI14-ER13,IF(A14&lt;'Données projet'!$A$192,$EG$205^A14,IF(A14='Données projet'!$A$192,'Données projet'!$B$192,EJ13+EI14-ER13)))</f>
        <v>17</v>
      </c>
      <c r="EK14" s="18">
        <f>EJ14*VLOOKUP('Données projet'!$B$15,Paramètres!$A$1:$I$89,3,0)*VLOOKUP('Données projet'!$B$15,Paramètres!$A$1:$I$89,5,0)</f>
        <v>13.7904</v>
      </c>
      <c r="EL14" s="14">
        <f t="shared" si="45"/>
        <v>4.6825473896592289</v>
      </c>
      <c r="EM14" s="22">
        <f t="shared" si="19"/>
        <v>32.173716703656488</v>
      </c>
      <c r="EN14" s="62">
        <f t="shared" si="20"/>
        <v>302.28482781476765</v>
      </c>
      <c r="EO14" s="62">
        <f ca="1">AVERAGE(OFFSET($EN$3,0,0,'Données projet'!$E$15+1,1))-AVERAGE(OFFSET($H$3,0,0,'Données projet'!$E$15+1,1))</f>
        <v>256.19915261735281</v>
      </c>
      <c r="EP14" s="62">
        <f t="shared" si="46"/>
        <v>297.47246687305056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0.2</v>
      </c>
      <c r="N15" s="14">
        <f>IF('Données projet'!$A$36&gt;35,N14+M15-V14,IF(A15&lt;'Données projet'!$A$36,$K$205^A15,IF(A15='Données projet'!$A$36,'Données projet'!$B$36,N14+M15-V14)))</f>
        <v>2.4082246852806897</v>
      </c>
      <c r="O15" s="14">
        <f>N15*VLOOKUP('Données projet'!$B$9,Paramètres!$A$1:$I$89,3,0)*VLOOKUP('Données projet'!$B$9,Paramètres!$A$1:$I$89,5,0)</f>
        <v>2.066256779970832</v>
      </c>
      <c r="P15" s="14">
        <f t="shared" si="33"/>
        <v>0.8750823107787572</v>
      </c>
      <c r="Q15" s="22">
        <f t="shared" si="2"/>
        <v>5.1228322497222019</v>
      </c>
      <c r="R15" s="62">
        <f t="shared" si="0"/>
        <v>276.45616558305551</v>
      </c>
      <c r="S15" s="62">
        <f ca="1">AVERAGE(OFFSET($R$3,0,0,'Données projet'!$E$9+1,1))-AVERAGE(OFFSET($H$3,0,0,'Données projet'!$E$9+1,1))</f>
        <v>446.27304516866047</v>
      </c>
      <c r="T15" s="62">
        <f t="shared" si="34"/>
        <v>230.82970731138215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14.6</v>
      </c>
      <c r="AI15" s="14">
        <f>IF('Données projet'!$A$62&gt;35,AI14+AH15-AQ14,IF(A15&lt;'Données projet'!$A$62,$AF$205^A15,IF(A15='Données projet'!$A$62,'Données projet'!$B$62,AI14+AH15-AQ14)))</f>
        <v>48.2</v>
      </c>
      <c r="AJ15" s="14">
        <f>AI15*VLOOKUP('Données projet'!$B$10,Paramètres!$A$1:$I$89,3,0)*VLOOKUP('Données projet'!$B$10,Paramètres!$A$1:$I$89,5,0)</f>
        <v>38.347920000000002</v>
      </c>
      <c r="AK15" s="14">
        <f t="shared" si="35"/>
        <v>11.559693804672129</v>
      </c>
      <c r="AL15" s="22">
        <f t="shared" si="4"/>
        <v>86.922427376470623</v>
      </c>
      <c r="AM15" s="62">
        <f t="shared" si="5"/>
        <v>358.25576070980395</v>
      </c>
      <c r="AN15" s="62">
        <f ca="1">AVERAGE(OFFSET($AM$3,0,0,'Données projet'!$E$10+1,1))-AVERAGE(OFFSET($H$3,0,0,'Données projet'!$E$10+1,1))</f>
        <v>427.78067187784063</v>
      </c>
      <c r="AO15" s="62">
        <f t="shared" si="36"/>
        <v>464.22892523825118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2.6666666666666665</v>
      </c>
      <c r="BD15" s="13">
        <f>IF('Données projet'!$A$88&gt;35,BD14+BC15-BL14,IF(A15&lt;'Données projet'!$A$88,$BA$205^A15,IF(A15='Données projet'!$A$88,'Données projet'!$B$88,BD14+BC15-BL14)))</f>
        <v>19.127049995800721</v>
      </c>
      <c r="BE15" s="14">
        <f>BD15*VLOOKUP('Données projet'!$B$11,Paramètres!$A$1:$I$89,3,0)*VLOOKUP('Données projet'!$B$11,Paramètres!$A$1:$I$89,5,0)</f>
        <v>14.919098996724562</v>
      </c>
      <c r="BF15" s="14">
        <f t="shared" si="37"/>
        <v>5.019622097301081</v>
      </c>
      <c r="BG15" s="22">
        <f t="shared" si="7"/>
        <v>34.726605905427995</v>
      </c>
      <c r="BH15" s="62">
        <f t="shared" si="8"/>
        <v>306.05993923876133</v>
      </c>
      <c r="BI15" s="62">
        <f ca="1">AVERAGE(OFFSET($BH$3,0,0,'Données projet'!$E$11+1,1))-AVERAGE(OFFSET($H$3,0,0,'Données projet'!$E$11+1,1))</f>
        <v>312.09994042858187</v>
      </c>
      <c r="BJ15" s="62">
        <f t="shared" si="38"/>
        <v>283.48738729114024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10.8</v>
      </c>
      <c r="BY15" s="13">
        <f>IF('Données projet'!$A$114&gt;35,BY14+BX15-CG14,IF(A15&lt;'Données projet'!$A$114,$BV$205^A15,IF(A15='Données projet'!$A$114,'Données projet'!$B$114,BY14+BX15-CG14)))</f>
        <v>32.6</v>
      </c>
      <c r="BZ15" s="14">
        <f>BY15*VLOOKUP('Données projet'!$B$12,Paramètres!$A$1:$I$89,3,0)*VLOOKUP('Données projet'!$B$12,Paramètres!$A$1:$I$89,5,0)</f>
        <v>25.936560000000004</v>
      </c>
      <c r="CA15" s="14">
        <f t="shared" si="39"/>
        <v>8.1824816304360635</v>
      </c>
      <c r="CB15" s="22">
        <f t="shared" si="10"/>
        <v>59.423997506342801</v>
      </c>
      <c r="CC15" s="62">
        <f t="shared" si="11"/>
        <v>330.75733083967611</v>
      </c>
      <c r="CD15" s="62">
        <f ca="1">AVERAGE(OFFSET($CC$3,0,0,'Données projet'!$E$12+1,1))-AVERAGE(OFFSET($H$3,0,0,'Données projet'!$E$12+1,1))</f>
        <v>370.79299728190904</v>
      </c>
      <c r="CE15" s="62">
        <f t="shared" si="40"/>
        <v>404.95703400805775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2.2649572649572649</v>
      </c>
      <c r="CT15" s="13">
        <f>IF('Données projet'!$A$140&gt;35,CT14+CS15-DB14,IF(A15&lt;'Données projet'!$A$140,$CQ$205^A15,IF(A15='Données projet'!$A$140,'Données projet'!$B$140,CT14+CS15-DB14)))</f>
        <v>16.784987300482918</v>
      </c>
      <c r="CU15" s="18">
        <f>CT15*VLOOKUP('Données projet'!$B$13,Paramètres!$A$1:$I$89,3,0)*VLOOKUP('Données projet'!$B$13,Paramètres!$A$1:$I$89,5,0)</f>
        <v>15.972593915139546</v>
      </c>
      <c r="CV15" s="14">
        <f t="shared" si="41"/>
        <v>5.3315638277853701</v>
      </c>
      <c r="CW15" s="22">
        <f t="shared" si="13"/>
        <v>37.104741402260892</v>
      </c>
      <c r="CX15" s="62">
        <f t="shared" si="14"/>
        <v>308.43807473559423</v>
      </c>
      <c r="CY15" s="62">
        <f ca="1">AVERAGE(OFFSET($CX$3,0,0,'Données projet'!$E$13+1,1))-AVERAGE(OFFSET($H$3,0,0,'Données projet'!$E$13+1,1))</f>
        <v>351.34897243264044</v>
      </c>
      <c r="CZ15" s="62">
        <f t="shared" si="42"/>
        <v>268.39685058071603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2.7777777777777777</v>
      </c>
      <c r="DO15" s="13">
        <f>IF('Données projet'!$A$166&gt;35,DO14+DN15-DW14,IF(A15&lt;'Données projet'!$A$166,$DL$205^A15,IF(A15='Données projet'!$A$166,'Données projet'!$B$166,DO14+DN15-DW14)))</f>
        <v>19.762005081494262</v>
      </c>
      <c r="DP15" s="18">
        <f>DO15*VLOOKUP('Données projet'!$B$14,Paramètres!$A$1:$I$89,3,0)*VLOOKUP('Données projet'!$B$14,Paramètres!$A$1:$I$89,5,0)</f>
        <v>13.256353008666352</v>
      </c>
      <c r="DQ15" s="14">
        <f t="shared" si="43"/>
        <v>4.5219521742655813</v>
      </c>
      <c r="DR15" s="22">
        <f t="shared" si="16"/>
        <v>30.963881526939787</v>
      </c>
      <c r="DS15" s="62">
        <f t="shared" si="17"/>
        <v>302.29721486027313</v>
      </c>
      <c r="DT15" s="62">
        <f ca="1">AVERAGE(OFFSET($DS$3,0,0,'Données projet'!$E$14+1,1))-AVERAGE(OFFSET($H$3,0,0,'Données projet'!$E$14+1,1))</f>
        <v>290.46086333591074</v>
      </c>
      <c r="DU15" s="62">
        <f t="shared" si="44"/>
        <v>236.8495901994267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8</v>
      </c>
      <c r="EJ15" s="13">
        <f>IF('Données projet'!$A$192&gt;35,EJ14+EI15-ER14,IF(A15&lt;'Données projet'!$A$192,$EG$205^A15,IF(A15='Données projet'!$A$192,'Données projet'!$B$192,EJ14+EI15-ER14)))</f>
        <v>25</v>
      </c>
      <c r="EK15" s="18">
        <f>EJ15*VLOOKUP('Données projet'!$B$15,Paramètres!$A$1:$I$89,3,0)*VLOOKUP('Données projet'!$B$15,Paramètres!$A$1:$I$89,5,0)</f>
        <v>20.28</v>
      </c>
      <c r="EL15" s="14">
        <f t="shared" si="45"/>
        <v>6.5838102554415308</v>
      </c>
      <c r="EM15" s="22">
        <f t="shared" si="19"/>
        <v>46.787802861560664</v>
      </c>
      <c r="EN15" s="62">
        <f t="shared" si="20"/>
        <v>318.12113619489401</v>
      </c>
      <c r="EO15" s="62">
        <f ca="1">AVERAGE(OFFSET($EN$3,0,0,'Données projet'!$E$15+1,1))-AVERAGE(OFFSET($H$3,0,0,'Données projet'!$E$15+1,1))</f>
        <v>256.19915261735281</v>
      </c>
      <c r="EP15" s="62">
        <f t="shared" si="46"/>
        <v>297.47246687305056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0.2</v>
      </c>
      <c r="N16" s="14">
        <f>IF('Données projet'!$A$36&gt;35,N15+M16-V15,IF(A16&lt;'Données projet'!$A$36,$K$205^A16,IF(A16='Données projet'!$A$36,'Données projet'!$B$36,N15+M16-V15)))</f>
        <v>2.5912247753694833</v>
      </c>
      <c r="O16" s="14">
        <f>N16*VLOOKUP('Données projet'!$B$9,Paramètres!$A$1:$I$89,3,0)*VLOOKUP('Données projet'!$B$9,Paramètres!$A$1:$I$89,5,0)</f>
        <v>2.2232708572670172</v>
      </c>
      <c r="P16" s="14">
        <f t="shared" si="33"/>
        <v>0.93358642397405633</v>
      </c>
      <c r="Q16" s="22">
        <f t="shared" si="2"/>
        <v>5.4981930981615363</v>
      </c>
      <c r="R16" s="62">
        <f t="shared" si="0"/>
        <v>278.05374865371709</v>
      </c>
      <c r="S16" s="62">
        <f ca="1">AVERAGE(OFFSET($R$3,0,0,'Données projet'!$E$9+1,1))-AVERAGE(OFFSET($H$3,0,0,'Données projet'!$E$9+1,1))</f>
        <v>446.27304516866047</v>
      </c>
      <c r="T16" s="62">
        <f t="shared" si="34"/>
        <v>230.82970731138215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14.6</v>
      </c>
      <c r="AI16" s="14">
        <f>IF('Données projet'!$A$62&gt;35,AI15+AH16-AQ15,IF(A16&lt;'Données projet'!$A$62,$AF$205^A16,IF(A16='Données projet'!$A$62,'Données projet'!$B$62,AI15+AH16-AQ15)))</f>
        <v>62.800000000000004</v>
      </c>
      <c r="AJ16" s="14">
        <f>AI16*VLOOKUP('Données projet'!$B$10,Paramètres!$A$1:$I$89,3,0)*VLOOKUP('Données projet'!$B$10,Paramètres!$A$1:$I$89,5,0)</f>
        <v>49.963680000000011</v>
      </c>
      <c r="AK16" s="14">
        <f t="shared" si="35"/>
        <v>14.604379468418438</v>
      </c>
      <c r="AL16" s="22">
        <f t="shared" si="4"/>
        <v>112.45603690749546</v>
      </c>
      <c r="AM16" s="62">
        <f t="shared" si="5"/>
        <v>385.01159246305099</v>
      </c>
      <c r="AN16" s="62">
        <f ca="1">AVERAGE(OFFSET($AM$3,0,0,'Données projet'!$E$10+1,1))-AVERAGE(OFFSET($H$3,0,0,'Données projet'!$E$10+1,1))</f>
        <v>427.78067187784063</v>
      </c>
      <c r="AO16" s="62">
        <f t="shared" si="36"/>
        <v>464.22892523825118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2.6666666666666665</v>
      </c>
      <c r="BD16" s="13">
        <f>IF('Données projet'!$A$88&gt;35,BD15+BC16-BL15,IF(A16&lt;'Données projet'!$A$88,$BA$205^A16,IF(A16='Données projet'!$A$88,'Données projet'!$B$88,BD15+BC16-BL15)))</f>
        <v>24.459748796430759</v>
      </c>
      <c r="BE16" s="14">
        <f>BD16*VLOOKUP('Données projet'!$B$11,Paramètres!$A$1:$I$89,3,0)*VLOOKUP('Données projet'!$B$11,Paramètres!$A$1:$I$89,5,0)</f>
        <v>19.078604061215994</v>
      </c>
      <c r="BF16" s="14">
        <f t="shared" si="37"/>
        <v>6.2379664748280286</v>
      </c>
      <c r="BG16" s="22">
        <f t="shared" si="7"/>
        <v>44.093027016943331</v>
      </c>
      <c r="BH16" s="62">
        <f t="shared" si="8"/>
        <v>316.64858257249887</v>
      </c>
      <c r="BI16" s="62">
        <f ca="1">AVERAGE(OFFSET($BH$3,0,0,'Données projet'!$E$11+1,1))-AVERAGE(OFFSET($H$3,0,0,'Données projet'!$E$11+1,1))</f>
        <v>312.09994042858187</v>
      </c>
      <c r="BJ16" s="62">
        <f t="shared" si="38"/>
        <v>283.48738729114024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10.8</v>
      </c>
      <c r="BY16" s="13">
        <f>IF('Données projet'!$A$114&gt;35,BY15+BX16-CG15,IF(A16&lt;'Données projet'!$A$114,$BV$205^A16,IF(A16='Données projet'!$A$114,'Données projet'!$B$114,BY15+BX16-CG15)))</f>
        <v>43.400000000000006</v>
      </c>
      <c r="BZ16" s="14">
        <f>BY16*VLOOKUP('Données projet'!$B$12,Paramètres!$A$1:$I$89,3,0)*VLOOKUP('Données projet'!$B$12,Paramètres!$A$1:$I$89,5,0)</f>
        <v>34.529040000000009</v>
      </c>
      <c r="CA16" s="14">
        <f t="shared" si="39"/>
        <v>10.536391336679102</v>
      </c>
      <c r="CB16" s="22">
        <f t="shared" si="10"/>
        <v>78.488959578049446</v>
      </c>
      <c r="CC16" s="62">
        <f t="shared" si="11"/>
        <v>351.04451513360499</v>
      </c>
      <c r="CD16" s="62">
        <f ca="1">AVERAGE(OFFSET($CC$3,0,0,'Données projet'!$E$12+1,1))-AVERAGE(OFFSET($H$3,0,0,'Données projet'!$E$12+1,1))</f>
        <v>370.79299728190904</v>
      </c>
      <c r="CE16" s="62">
        <f t="shared" si="40"/>
        <v>404.95703400805775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2.2649572649572649</v>
      </c>
      <c r="CT16" s="13">
        <f>IF('Données projet'!$A$140&gt;35,CT15+CS16-DB15,IF(A16&lt;'Données projet'!$A$140,$CQ$205^A16,IF(A16='Données projet'!$A$140,'Données projet'!$B$140,CT15+CS16-DB15)))</f>
        <v>21.232335519110155</v>
      </c>
      <c r="CU16" s="18">
        <f>CT16*VLOOKUP('Données projet'!$B$13,Paramètres!$A$1:$I$89,3,0)*VLOOKUP('Données projet'!$B$13,Paramètres!$A$1:$I$89,5,0)</f>
        <v>20.204690479985224</v>
      </c>
      <c r="CV16" s="14">
        <f t="shared" si="41"/>
        <v>6.5622025364151133</v>
      </c>
      <c r="CW16" s="22">
        <f t="shared" si="13"/>
        <v>46.619005336897253</v>
      </c>
      <c r="CX16" s="62">
        <f t="shared" si="14"/>
        <v>319.1745608924528</v>
      </c>
      <c r="CY16" s="62">
        <f ca="1">AVERAGE(OFFSET($CX$3,0,0,'Données projet'!$E$13+1,1))-AVERAGE(OFFSET($H$3,0,0,'Données projet'!$E$13+1,1))</f>
        <v>351.34897243264044</v>
      </c>
      <c r="CZ16" s="62">
        <f t="shared" si="42"/>
        <v>268.39685058071603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2.7777777777777777</v>
      </c>
      <c r="DO16" s="13">
        <f>IF('Données projet'!$A$166&gt;35,DO15+DN16-DW15,IF(A16&lt;'Données projet'!$A$166,$DL$205^A16,IF(A16='Données projet'!$A$166,'Données projet'!$B$166,DO15+DN16-DW15)))</f>
        <v>25.340601762628324</v>
      </c>
      <c r="DP16" s="18">
        <f>DO16*VLOOKUP('Données projet'!$B$14,Paramètres!$A$1:$I$89,3,0)*VLOOKUP('Données projet'!$B$14,Paramètres!$A$1:$I$89,5,0)</f>
        <v>16.998475662371082</v>
      </c>
      <c r="DQ16" s="14">
        <f t="shared" si="43"/>
        <v>5.6330333342391405</v>
      </c>
      <c r="DR16" s="22">
        <f t="shared" si="16"/>
        <v>39.416544835762807</v>
      </c>
      <c r="DS16" s="62">
        <f t="shared" si="17"/>
        <v>311.97210039131835</v>
      </c>
      <c r="DT16" s="62">
        <f ca="1">AVERAGE(OFFSET($DS$3,0,0,'Données projet'!$E$14+1,1))-AVERAGE(OFFSET($H$3,0,0,'Données projet'!$E$14+1,1))</f>
        <v>290.46086333591074</v>
      </c>
      <c r="DU16" s="62">
        <f t="shared" si="44"/>
        <v>236.8495901994267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8</v>
      </c>
      <c r="EJ16" s="13">
        <f>IF('Données projet'!$A$192&gt;35,EJ15+EI16-ER15,IF(A16&lt;'Données projet'!$A$192,$EG$205^A16,IF(A16='Données projet'!$A$192,'Données projet'!$B$192,EJ15+EI16-ER15)))</f>
        <v>33</v>
      </c>
      <c r="EK16" s="18">
        <f>EJ16*VLOOKUP('Données projet'!$B$15,Paramètres!$A$1:$I$89,3,0)*VLOOKUP('Données projet'!$B$15,Paramètres!$A$1:$I$89,5,0)</f>
        <v>26.769600000000001</v>
      </c>
      <c r="EL16" s="14">
        <f t="shared" si="45"/>
        <v>8.4142697673415618</v>
      </c>
      <c r="EM16" s="22">
        <f t="shared" si="19"/>
        <v>61.278573178119878</v>
      </c>
      <c r="EN16" s="62">
        <f t="shared" si="20"/>
        <v>333.83412873367541</v>
      </c>
      <c r="EO16" s="62">
        <f ca="1">AVERAGE(OFFSET($EN$3,0,0,'Données projet'!$E$15+1,1))-AVERAGE(OFFSET($H$3,0,0,'Données projet'!$E$15+1,1))</f>
        <v>256.19915261735281</v>
      </c>
      <c r="EP16" s="62">
        <f t="shared" si="46"/>
        <v>297.47246687305056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0.2</v>
      </c>
      <c r="N17" s="14">
        <f>IF('Données projet'!$A$36&gt;35,N16+M17-V16,IF(A17&lt;'Données projet'!$A$36,$K$205^A17,IF(A17='Données projet'!$A$36,'Données projet'!$B$36,N16+M17-V16)))</f>
        <v>2.7881309736288284</v>
      </c>
      <c r="O17" s="14">
        <f>N17*VLOOKUP('Données projet'!$B$9,Paramètres!$A$1:$I$89,3,0)*VLOOKUP('Données projet'!$B$9,Paramètres!$A$1:$I$89,5,0)</f>
        <v>2.3922163753735353</v>
      </c>
      <c r="P17" s="14">
        <f t="shared" si="33"/>
        <v>0.9960018621025748</v>
      </c>
      <c r="Q17" s="22">
        <f t="shared" si="2"/>
        <v>5.9011467636042241</v>
      </c>
      <c r="R17" s="62">
        <f t="shared" si="0"/>
        <v>279.678924541382</v>
      </c>
      <c r="S17" s="62">
        <f ca="1">AVERAGE(OFFSET($R$3,0,0,'Données projet'!$E$9+1,1))-AVERAGE(OFFSET($H$3,0,0,'Données projet'!$E$9+1,1))</f>
        <v>446.27304516866047</v>
      </c>
      <c r="T17" s="62">
        <f t="shared" si="34"/>
        <v>230.82970731138215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14.6</v>
      </c>
      <c r="AI17" s="14">
        <f>IF('Données projet'!$A$62&gt;35,AI16+AH17-AQ16,IF(A17&lt;'Données projet'!$A$62,$AF$205^A17,IF(A17='Données projet'!$A$62,'Données projet'!$B$62,AI16+AH17-AQ16)))</f>
        <v>77.400000000000006</v>
      </c>
      <c r="AJ17" s="14">
        <f>AI17*VLOOKUP('Données projet'!$B$10,Paramètres!$A$1:$I$89,3,0)*VLOOKUP('Données projet'!$B$10,Paramètres!$A$1:$I$89,5,0)</f>
        <v>61.579440000000005</v>
      </c>
      <c r="AK17" s="14">
        <f t="shared" si="35"/>
        <v>17.566995111207326</v>
      </c>
      <c r="AL17" s="22">
        <f t="shared" si="4"/>
        <v>137.8467078186861</v>
      </c>
      <c r="AM17" s="62">
        <f t="shared" si="5"/>
        <v>411.62448559646384</v>
      </c>
      <c r="AN17" s="62">
        <f ca="1">AVERAGE(OFFSET($AM$3,0,0,'Données projet'!$E$10+1,1))-AVERAGE(OFFSET($H$3,0,0,'Données projet'!$E$10+1,1))</f>
        <v>427.78067187784063</v>
      </c>
      <c r="AO17" s="62">
        <f t="shared" si="36"/>
        <v>464.22892523825118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2.6666666666666665</v>
      </c>
      <c r="BD17" s="13">
        <f>IF('Données projet'!$A$88&gt;35,BD16+BC17-BL16,IF(A17&lt;'Données projet'!$A$88,$BA$205^A17,IF(A17='Données projet'!$A$88,'Données projet'!$B$88,BD16+BC17-BL16)))</f>
        <v>31.279225563578599</v>
      </c>
      <c r="BE17" s="14">
        <f>BD17*VLOOKUP('Données projet'!$B$11,Paramètres!$A$1:$I$89,3,0)*VLOOKUP('Données projet'!$B$11,Paramètres!$A$1:$I$89,5,0)</f>
        <v>24.397795939591308</v>
      </c>
      <c r="BF17" s="14">
        <f t="shared" si="37"/>
        <v>7.75202295846145</v>
      </c>
      <c r="BG17" s="22">
        <f t="shared" si="7"/>
        <v>55.994267914108548</v>
      </c>
      <c r="BH17" s="62">
        <f t="shared" si="8"/>
        <v>329.77204569188632</v>
      </c>
      <c r="BI17" s="62">
        <f ca="1">AVERAGE(OFFSET($BH$3,0,0,'Données projet'!$E$11+1,1))-AVERAGE(OFFSET($H$3,0,0,'Données projet'!$E$11+1,1))</f>
        <v>312.09994042858187</v>
      </c>
      <c r="BJ17" s="62">
        <f t="shared" si="38"/>
        <v>283.48738729114024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10.8</v>
      </c>
      <c r="BY17" s="13">
        <f>IF('Données projet'!$A$114&gt;35,BY16+BX17-CG16,IF(A17&lt;'Données projet'!$A$114,$BV$205^A17,IF(A17='Données projet'!$A$114,'Données projet'!$B$114,BY16+BX17-CG16)))</f>
        <v>54.2</v>
      </c>
      <c r="BZ17" s="14">
        <f>BY17*VLOOKUP('Données projet'!$B$12,Paramètres!$A$1:$I$89,3,0)*VLOOKUP('Données projet'!$B$12,Paramètres!$A$1:$I$89,5,0)</f>
        <v>43.121520000000004</v>
      </c>
      <c r="CA17" s="14">
        <f t="shared" si="39"/>
        <v>12.822353245070515</v>
      </c>
      <c r="CB17" s="22">
        <f t="shared" si="10"/>
        <v>97.435579235164482</v>
      </c>
      <c r="CC17" s="62">
        <f t="shared" si="11"/>
        <v>371.21335701294225</v>
      </c>
      <c r="CD17" s="62">
        <f ca="1">AVERAGE(OFFSET($CC$3,0,0,'Données projet'!$E$12+1,1))-AVERAGE(OFFSET($H$3,0,0,'Données projet'!$E$12+1,1))</f>
        <v>370.79299728190904</v>
      </c>
      <c r="CE17" s="62">
        <f t="shared" si="40"/>
        <v>404.95703400805775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2.2649572649572649</v>
      </c>
      <c r="CT17" s="13">
        <f>IF('Données projet'!$A$140&gt;35,CT16+CS17-DB16,IF(A17&lt;'Données projet'!$A$140,$CQ$205^A17,IF(A17='Données projet'!$A$140,'Données projet'!$B$140,CT16+CS17-DB16)))</f>
        <v>26.85805258745096</v>
      </c>
      <c r="CU17" s="18">
        <f>CT17*VLOOKUP('Données projet'!$B$13,Paramètres!$A$1:$I$89,3,0)*VLOOKUP('Données projet'!$B$13,Paramètres!$A$1:$I$89,5,0)</f>
        <v>25.558122842218335</v>
      </c>
      <c r="CV17" s="14">
        <f t="shared" si="41"/>
        <v>8.0768989211970617</v>
      </c>
      <c r="CW17" s="22">
        <f t="shared" si="13"/>
        <v>58.580996237948476</v>
      </c>
      <c r="CX17" s="62">
        <f t="shared" si="14"/>
        <v>332.35877401572623</v>
      </c>
      <c r="CY17" s="62">
        <f ca="1">AVERAGE(OFFSET($CX$3,0,0,'Données projet'!$E$13+1,1))-AVERAGE(OFFSET($H$3,0,0,'Données projet'!$E$13+1,1))</f>
        <v>351.34897243264044</v>
      </c>
      <c r="CZ17" s="62">
        <f t="shared" si="42"/>
        <v>268.39685058071603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2.7777777777777777</v>
      </c>
      <c r="DO17" s="13">
        <f>IF('Données projet'!$A$166&gt;35,DO16+DN17-DW16,IF(A17&lt;'Données projet'!$A$166,$DL$205^A17,IF(A17='Données projet'!$A$166,'Données projet'!$B$166,DO16+DN17-DW16)))</f>
        <v>32.493974930380247</v>
      </c>
      <c r="DP17" s="18">
        <f>DO17*VLOOKUP('Données projet'!$B$14,Paramètres!$A$1:$I$89,3,0)*VLOOKUP('Données projet'!$B$14,Paramètres!$A$1:$I$89,5,0)</f>
        <v>21.796958383299071</v>
      </c>
      <c r="DQ17" s="14">
        <f t="shared" si="43"/>
        <v>7.0171163519222377</v>
      </c>
      <c r="DR17" s="22">
        <f t="shared" si="16"/>
        <v>50.184513497177107</v>
      </c>
      <c r="DS17" s="62">
        <f t="shared" si="17"/>
        <v>323.96229127495485</v>
      </c>
      <c r="DT17" s="62">
        <f ca="1">AVERAGE(OFFSET($DS$3,0,0,'Données projet'!$E$14+1,1))-AVERAGE(OFFSET($H$3,0,0,'Données projet'!$E$14+1,1))</f>
        <v>290.46086333591074</v>
      </c>
      <c r="DU17" s="62">
        <f t="shared" si="44"/>
        <v>236.8495901994267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8</v>
      </c>
      <c r="EJ17" s="13">
        <f>IF('Données projet'!$A$192&gt;35,EJ16+EI17-ER16,IF(A17&lt;'Données projet'!$A$192,$EG$205^A17,IF(A17='Données projet'!$A$192,'Données projet'!$B$192,EJ16+EI17-ER16)))</f>
        <v>41</v>
      </c>
      <c r="EK17" s="18">
        <f>EJ17*VLOOKUP('Données projet'!$B$15,Paramètres!$A$1:$I$89,3,0)*VLOOKUP('Données projet'!$B$15,Paramètres!$A$1:$I$89,5,0)</f>
        <v>33.2592</v>
      </c>
      <c r="EL17" s="14">
        <f t="shared" si="45"/>
        <v>10.193265358024187</v>
      </c>
      <c r="EM17" s="22">
        <f t="shared" si="19"/>
        <v>75.679710498558791</v>
      </c>
      <c r="EN17" s="62">
        <f t="shared" si="20"/>
        <v>349.45748827633656</v>
      </c>
      <c r="EO17" s="62">
        <f ca="1">AVERAGE(OFFSET($EN$3,0,0,'Données projet'!$E$15+1,1))-AVERAGE(OFFSET($H$3,0,0,'Données projet'!$E$15+1,1))</f>
        <v>256.19915261735281</v>
      </c>
      <c r="EP17" s="62">
        <f t="shared" si="46"/>
        <v>297.47246687305056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>
        <f>VLOOKUP(A18,'Données projet'!$A$35:$I$55,2,0)</f>
        <v>3</v>
      </c>
      <c r="L18" s="13">
        <f>VLOOKUP(A18,'Données projet'!$A$35:$I$55,9,0)</f>
        <v>0.2</v>
      </c>
      <c r="M18" s="13">
        <f t="array" ref="M18">INDEX(L:L,MIN(IF(ISNUMBER(L18:L214),ROW(L18:L214),"")))</f>
        <v>0.2</v>
      </c>
      <c r="N18" s="14">
        <f>IF('Données projet'!$A$36&gt;35,N17+M18-V17,IF(A18&lt;'Données projet'!$A$36,$K$205^A18,IF(A18='Données projet'!$A$36,'Données projet'!$B$36,N17+M18-V17)))</f>
        <v>3</v>
      </c>
      <c r="O18" s="14">
        <f>N18*VLOOKUP('Données projet'!$B$9,Paramètres!$A$1:$I$89,3,0)*VLOOKUP('Données projet'!$B$9,Paramètres!$A$1:$I$89,5,0)</f>
        <v>2.5740000000000003</v>
      </c>
      <c r="P18" s="14">
        <f t="shared" si="33"/>
        <v>1.0625901189618896</v>
      </c>
      <c r="Q18" s="22">
        <f t="shared" si="2"/>
        <v>6.333727790525292</v>
      </c>
      <c r="R18" s="62">
        <f t="shared" si="0"/>
        <v>281.3337277905253</v>
      </c>
      <c r="S18" s="62">
        <f ca="1">AVERAGE(OFFSET($R$3,0,0,'Données projet'!$E$9+1,1))-AVERAGE(OFFSET($H$3,0,0,'Données projet'!$E$9+1,1))</f>
        <v>446.27304516866047</v>
      </c>
      <c r="T18" s="62">
        <f t="shared" si="34"/>
        <v>230.82970731138215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>
        <f>VLOOKUP(A18,'Données projet'!$A$61:$I$81,2,0)</f>
        <v>92</v>
      </c>
      <c r="AG18" s="13">
        <f>VLOOKUP(A18,'Données projet'!$A$61:$I$81,9,0)</f>
        <v>14.6</v>
      </c>
      <c r="AH18" s="13">
        <f t="array" ref="AH18">INDEX(AG:AG,MIN(IF(ISNUMBER(AG18:AG214),ROW(AG18:AG214),"")))</f>
        <v>14.6</v>
      </c>
      <c r="AI18" s="14">
        <f>IF('Données projet'!$A$62&gt;35,AI17+AH18-AQ17,IF(A18&lt;'Données projet'!$A$62,$AF$205^A18,IF(A18='Données projet'!$A$62,'Données projet'!$B$62,AI17+AH18-AQ17)))</f>
        <v>92</v>
      </c>
      <c r="AJ18" s="14">
        <f>AI18*VLOOKUP('Données projet'!$B$10,Paramètres!$A$1:$I$89,3,0)*VLOOKUP('Données projet'!$B$10,Paramètres!$A$1:$I$89,5,0)</f>
        <v>73.1952</v>
      </c>
      <c r="AK18" s="14">
        <f t="shared" si="35"/>
        <v>20.464865364050787</v>
      </c>
      <c r="AL18" s="22">
        <f t="shared" si="4"/>
        <v>163.12461384238844</v>
      </c>
      <c r="AM18" s="62">
        <f t="shared" si="5"/>
        <v>438.12461384238844</v>
      </c>
      <c r="AN18" s="62">
        <f ca="1">AVERAGE(OFFSET($AM$3,0,0,'Données projet'!$E$10+1,1))-AVERAGE(OFFSET($H$3,0,0,'Données projet'!$E$10+1,1))</f>
        <v>427.78067187784063</v>
      </c>
      <c r="AO18" s="62">
        <f t="shared" si="36"/>
        <v>464.22892523825118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>
        <f>VLOOKUP(A18,'Données projet'!$A$87:$I$107,2,0)</f>
        <v>40</v>
      </c>
      <c r="BB18" s="13">
        <f>VLOOKUP(A18,'Données projet'!$A$87:$I$107,9,0)</f>
        <v>2.6666666666666665</v>
      </c>
      <c r="BC18" s="13">
        <f t="array" ref="BC18">INDEX(BB:BB,MIN(IF(ISNUMBER(BB18:BB214),ROW(BB18:BB214),"")))</f>
        <v>2.6666666666666665</v>
      </c>
      <c r="BD18" s="13">
        <f>IF('Données projet'!$A$88&gt;35,BD17+BC18-BL17,IF(A18&lt;'Données projet'!$A$88,$BA$205^A18,IF(A18='Données projet'!$A$88,'Données projet'!$B$88,BD17+BC18-BL17)))</f>
        <v>40</v>
      </c>
      <c r="BE18" s="14">
        <f>BD18*VLOOKUP('Données projet'!$B$11,Paramètres!$A$1:$I$89,3,0)*VLOOKUP('Données projet'!$B$11,Paramètres!$A$1:$I$89,5,0)</f>
        <v>31.200000000000003</v>
      </c>
      <c r="BF18" s="14">
        <f t="shared" si="37"/>
        <v>9.6335657126419925</v>
      </c>
      <c r="BG18" s="22">
        <f t="shared" si="7"/>
        <v>71.118460282851473</v>
      </c>
      <c r="BH18" s="62">
        <f t="shared" si="8"/>
        <v>346.11846028285146</v>
      </c>
      <c r="BI18" s="62">
        <f ca="1">AVERAGE(OFFSET($BH$3,0,0,'Données projet'!$E$11+1,1))-AVERAGE(OFFSET($H$3,0,0,'Données projet'!$E$11+1,1))</f>
        <v>312.09994042858187</v>
      </c>
      <c r="BJ18" s="62">
        <f t="shared" si="38"/>
        <v>283.48738729114024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65</v>
      </c>
      <c r="BW18" s="13">
        <f>VLOOKUP(A18,'Données projet'!$A$113:$I$133,9,0)</f>
        <v>10.8</v>
      </c>
      <c r="BX18" s="13">
        <f t="array" ref="BX18">INDEX(BW:BW,MIN(IF(ISNUMBER(BW18:BW214),ROW(BW18:BW214),"")))</f>
        <v>10.8</v>
      </c>
      <c r="BY18" s="13">
        <f>IF('Données projet'!$A$114&gt;35,BY17+BX18-CG17,IF(A18&lt;'Données projet'!$A$114,$BV$205^A18,IF(A18='Données projet'!$A$114,'Données projet'!$B$114,BY17+BX18-CG17)))</f>
        <v>65</v>
      </c>
      <c r="BZ18" s="14">
        <f>BY18*VLOOKUP('Données projet'!$B$12,Paramètres!$A$1:$I$89,3,0)*VLOOKUP('Données projet'!$B$12,Paramètres!$A$1:$I$89,5,0)</f>
        <v>51.713999999999999</v>
      </c>
      <c r="CA18" s="14">
        <f t="shared" si="39"/>
        <v>15.055535578337075</v>
      </c>
      <c r="CB18" s="22">
        <f t="shared" si="10"/>
        <v>116.29027446560372</v>
      </c>
      <c r="CC18" s="62">
        <f t="shared" si="11"/>
        <v>391.29027446560372</v>
      </c>
      <c r="CD18" s="62">
        <f ca="1">AVERAGE(OFFSET($CC$3,0,0,'Données projet'!$E$12+1,1))-AVERAGE(OFFSET($H$3,0,0,'Données projet'!$E$12+1,1))</f>
        <v>370.79299728190904</v>
      </c>
      <c r="CE18" s="62">
        <f t="shared" si="40"/>
        <v>404.95703400805775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33.974358974358971</v>
      </c>
      <c r="CR18" s="13">
        <f>VLOOKUP(A18,'Données projet'!$A$139:$I$159,9,0)</f>
        <v>2.2649572649572649</v>
      </c>
      <c r="CS18" s="13">
        <f t="array" ref="CS18">INDEX(CR:CR,MIN(IF(ISNUMBER(CR18:CR214),ROW(CR18:CR214),"")))</f>
        <v>2.2649572649572649</v>
      </c>
      <c r="CT18" s="13">
        <f>IF('Données projet'!$A$140&gt;35,CT17+CS18-DB17,IF(A18&lt;'Données projet'!$A$140,$CQ$205^A18,IF(A18='Données projet'!$A$140,'Données projet'!$B$140,CT17+CS18-DB17)))</f>
        <v>33.974358974358971</v>
      </c>
      <c r="CU18" s="18">
        <f>CT18*VLOOKUP('Données projet'!$B$13,Paramètres!$A$1:$I$89,3,0)*VLOOKUP('Données projet'!$B$13,Paramètres!$A$1:$I$89,5,0)</f>
        <v>32.33</v>
      </c>
      <c r="CV18" s="14">
        <f t="shared" si="41"/>
        <v>9.9412195556634533</v>
      </c>
      <c r="CW18" s="22">
        <f t="shared" si="13"/>
        <v>73.622374059447182</v>
      </c>
      <c r="CX18" s="62">
        <f t="shared" si="14"/>
        <v>348.62237405944717</v>
      </c>
      <c r="CY18" s="62">
        <f ca="1">AVERAGE(OFFSET($CX$3,0,0,'Données projet'!$E$13+1,1))-AVERAGE(OFFSET($H$3,0,0,'Données projet'!$E$13+1,1))</f>
        <v>351.34897243264044</v>
      </c>
      <c r="CZ18" s="62">
        <f t="shared" si="42"/>
        <v>268.39685058071603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41.666666666666664</v>
      </c>
      <c r="DM18" s="13">
        <f>VLOOKUP(A18,'Données projet'!$A$165:$I$185,9,0)</f>
        <v>2.7777777777777777</v>
      </c>
      <c r="DN18" s="13">
        <f t="array" ref="DN18">INDEX(DM:DM,MIN(IF(ISNUMBER(DM18:DM214),ROW(DM18:DM214),"")))</f>
        <v>2.7777777777777777</v>
      </c>
      <c r="DO18" s="13">
        <f>IF('Données projet'!$A$166&gt;35,DO17+DN18-DW17,IF(A18&lt;'Données projet'!$A$166,$DL$205^A18,IF(A18='Données projet'!$A$166,'Données projet'!$B$166,DO17+DN18-DW17)))</f>
        <v>41.666666666666664</v>
      </c>
      <c r="DP18" s="18">
        <f>DO18*VLOOKUP('Données projet'!$B$14,Paramètres!$A$1:$I$89,3,0)*VLOOKUP('Données projet'!$B$14,Paramètres!$A$1:$I$89,5,0)</f>
        <v>27.949999999999996</v>
      </c>
      <c r="DQ18" s="14">
        <f t="shared" si="43"/>
        <v>8.7412800483747386</v>
      </c>
      <c r="DR18" s="22">
        <f t="shared" si="16"/>
        <v>63.903979417585994</v>
      </c>
      <c r="DS18" s="62">
        <f t="shared" si="17"/>
        <v>338.90397941758602</v>
      </c>
      <c r="DT18" s="62">
        <f ca="1">AVERAGE(OFFSET($DS$3,0,0,'Données projet'!$E$14+1,1))-AVERAGE(OFFSET($H$3,0,0,'Données projet'!$E$14+1,1))</f>
        <v>290.46086333591074</v>
      </c>
      <c r="DU18" s="62">
        <f t="shared" si="44"/>
        <v>236.8495901994267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49</v>
      </c>
      <c r="EH18" s="13">
        <f>VLOOKUP(A18,'Données projet'!$A$191:$I$211,9,0)</f>
        <v>8</v>
      </c>
      <c r="EI18" s="13">
        <f t="array" ref="EI18">INDEX(EH:EH,MIN(IF(ISNUMBER(EH18:EH214),ROW(EH18:EH214),"")))</f>
        <v>8</v>
      </c>
      <c r="EJ18" s="13">
        <f>IF('Données projet'!$A$192&gt;35,EJ17+EI18-ER17,IF(A18&lt;'Données projet'!$A$192,$EG$205^A18,IF(A18='Données projet'!$A$192,'Données projet'!$B$192,EJ17+EI18-ER17)))</f>
        <v>49</v>
      </c>
      <c r="EK18" s="18">
        <f>EJ18*VLOOKUP('Données projet'!$B$15,Paramètres!$A$1:$I$89,3,0)*VLOOKUP('Données projet'!$B$15,Paramètres!$A$1:$I$89,5,0)</f>
        <v>39.748800000000003</v>
      </c>
      <c r="EL18" s="14">
        <f t="shared" si="45"/>
        <v>11.932041927023215</v>
      </c>
      <c r="EM18" s="22">
        <f t="shared" si="19"/>
        <v>90.010799689565431</v>
      </c>
      <c r="EN18" s="62">
        <f t="shared" si="20"/>
        <v>365.01079968956543</v>
      </c>
      <c r="EO18" s="62">
        <f ca="1">AVERAGE(OFFSET($EN$3,0,0,'Données projet'!$E$15+1,1))-AVERAGE(OFFSET($H$3,0,0,'Données projet'!$E$15+1,1))</f>
        <v>256.19915261735281</v>
      </c>
      <c r="EP18" s="62">
        <f t="shared" si="46"/>
        <v>297.47246687305056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2.1666666666666665</v>
      </c>
      <c r="N19" s="14">
        <f>IF('Données projet'!$A$36&gt;35,N18+M19-V18,IF(A19&lt;'Données projet'!$A$36,$K$205^A19,IF(A19='Données projet'!$A$36,'Données projet'!$B$36,N18+M19-V18)))</f>
        <v>5.1666666666666661</v>
      </c>
      <c r="O19" s="14">
        <f>N19*VLOOKUP('Données projet'!$B$9,Paramètres!$A$1:$I$89,3,0)*VLOOKUP('Données projet'!$B$9,Paramètres!$A$1:$I$89,5,0)</f>
        <v>4.4330000000000007</v>
      </c>
      <c r="P19" s="14">
        <f t="shared" si="33"/>
        <v>1.7178062567923427</v>
      </c>
      <c r="Q19" s="22">
        <f t="shared" si="2"/>
        <v>10.712654230579998</v>
      </c>
      <c r="R19" s="62">
        <f t="shared" si="0"/>
        <v>286.9348764528022</v>
      </c>
      <c r="S19" s="62">
        <f ca="1">AVERAGE(OFFSET($R$3,0,0,'Données projet'!$E$9+1,1))-AVERAGE(OFFSET($H$3,0,0,'Données projet'!$E$9+1,1))</f>
        <v>446.27304516866047</v>
      </c>
      <c r="T19" s="62">
        <f t="shared" si="34"/>
        <v>230.82970731138215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</v>
      </c>
      <c r="AI19" s="14">
        <f>IF('Données projet'!$A$62&gt;35,AI18+AH19-AQ18,IF(A19&lt;'Données projet'!$A$62,$AF$205^A19,IF(A19='Données projet'!$A$62,'Données projet'!$B$62,AI18+AH19-AQ18)))</f>
        <v>108</v>
      </c>
      <c r="AJ19" s="14">
        <f>AI19*VLOOKUP('Données projet'!$B$10,Paramètres!$A$1:$I$89,3,0)*VLOOKUP('Données projet'!$B$10,Paramètres!$A$1:$I$89,5,0)</f>
        <v>85.924800000000005</v>
      </c>
      <c r="AK19" s="14">
        <f t="shared" si="35"/>
        <v>23.579750090592171</v>
      </c>
      <c r="AL19" s="22">
        <f t="shared" si="4"/>
        <v>190.7204247411147</v>
      </c>
      <c r="AM19" s="62">
        <f t="shared" si="5"/>
        <v>466.94264696333693</v>
      </c>
      <c r="AN19" s="62">
        <f ca="1">AVERAGE(OFFSET($AM$3,0,0,'Données projet'!$E$10+1,1))-AVERAGE(OFFSET($H$3,0,0,'Données projet'!$E$10+1,1))</f>
        <v>427.78067187784063</v>
      </c>
      <c r="AO19" s="62">
        <f t="shared" si="36"/>
        <v>464.22892523825118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9</v>
      </c>
      <c r="BD19" s="13">
        <f>IF('Données projet'!$A$88&gt;35,BD18+BC19-BL18,IF(A19&lt;'Données projet'!$A$88,$BA$205^A19,IF(A19='Données projet'!$A$88,'Données projet'!$B$88,BD18+BC19-BL18)))</f>
        <v>49</v>
      </c>
      <c r="BE19" s="14">
        <f>BD19*VLOOKUP('Données projet'!$B$11,Paramètres!$A$1:$I$89,3,0)*VLOOKUP('Données projet'!$B$11,Paramètres!$A$1:$I$89,5,0)</f>
        <v>38.22</v>
      </c>
      <c r="BF19" s="14">
        <f t="shared" si="37"/>
        <v>11.525615099344257</v>
      </c>
      <c r="BG19" s="22">
        <f t="shared" si="7"/>
        <v>86.640279631357899</v>
      </c>
      <c r="BH19" s="62">
        <f t="shared" si="8"/>
        <v>362.86250185358011</v>
      </c>
      <c r="BI19" s="62">
        <f ca="1">AVERAGE(OFFSET($BH$3,0,0,'Données projet'!$E$11+1,1))-AVERAGE(OFFSET($H$3,0,0,'Données projet'!$E$11+1,1))</f>
        <v>312.09994042858187</v>
      </c>
      <c r="BJ19" s="62">
        <f t="shared" si="38"/>
        <v>283.48738729114024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13.8</v>
      </c>
      <c r="BY19" s="13">
        <f>IF('Données projet'!$A$114&gt;35,BY18+BX19-CG18,IF(A19&lt;'Données projet'!$A$114,$BV$205^A19,IF(A19='Données projet'!$A$114,'Données projet'!$B$114,BY18+BX19-CG18)))</f>
        <v>78.8</v>
      </c>
      <c r="BZ19" s="14">
        <f>BY19*VLOOKUP('Données projet'!$B$12,Paramètres!$A$1:$I$89,3,0)*VLOOKUP('Données projet'!$B$12,Paramètres!$A$1:$I$89,5,0)</f>
        <v>62.693280000000009</v>
      </c>
      <c r="CA19" s="14">
        <f t="shared" si="39"/>
        <v>17.847464769732898</v>
      </c>
      <c r="CB19" s="22">
        <f t="shared" si="10"/>
        <v>140.27513047395146</v>
      </c>
      <c r="CC19" s="62">
        <f t="shared" si="11"/>
        <v>416.49735269617372</v>
      </c>
      <c r="CD19" s="62">
        <f ca="1">AVERAGE(OFFSET($CC$3,0,0,'Données projet'!$E$12+1,1))-AVERAGE(OFFSET($H$3,0,0,'Données projet'!$E$12+1,1))</f>
        <v>370.79299728190904</v>
      </c>
      <c r="CE19" s="62">
        <f t="shared" si="40"/>
        <v>404.95703400805775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5.8974358974358978</v>
      </c>
      <c r="CT19" s="13">
        <f>IF('Données projet'!$A$140&gt;35,CT18+CS19-DB18,IF(A19&lt;'Données projet'!$A$140,$CQ$205^A19,IF(A19='Données projet'!$A$140,'Données projet'!$B$140,CT18+CS19-DB18)))</f>
        <v>39.871794871794869</v>
      </c>
      <c r="CU19" s="18">
        <f>CT19*VLOOKUP('Données projet'!$B$13,Paramètres!$A$1:$I$89,3,0)*VLOOKUP('Données projet'!$B$13,Paramètres!$A$1:$I$89,5,0)</f>
        <v>37.941999999999993</v>
      </c>
      <c r="CV19" s="14">
        <f t="shared" si="41"/>
        <v>11.45150826835841</v>
      </c>
      <c r="CW19" s="22">
        <f t="shared" si="13"/>
        <v>86.027026900724209</v>
      </c>
      <c r="CX19" s="62">
        <f t="shared" si="14"/>
        <v>362.24924912294642</v>
      </c>
      <c r="CY19" s="62">
        <f ca="1">AVERAGE(OFFSET($CX$3,0,0,'Données projet'!$E$13+1,1))-AVERAGE(OFFSET($H$3,0,0,'Données projet'!$E$13+1,1))</f>
        <v>351.34897243264044</v>
      </c>
      <c r="CZ19" s="62">
        <f t="shared" si="42"/>
        <v>268.39685058071603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7.4358974358974352</v>
      </c>
      <c r="DO19" s="13">
        <f>IF('Données projet'!$A$166&gt;35,DO18+DN19-DW18,IF(A19&lt;'Données projet'!$A$166,$DL$205^A19,IF(A19='Données projet'!$A$166,'Données projet'!$B$166,DO18+DN19-DW18)))</f>
        <v>49.102564102564102</v>
      </c>
      <c r="DP19" s="18">
        <f>DO19*VLOOKUP('Données projet'!$B$14,Paramètres!$A$1:$I$89,3,0)*VLOOKUP('Données projet'!$B$14,Paramètres!$A$1:$I$89,5,0)</f>
        <v>32.938000000000002</v>
      </c>
      <c r="DQ19" s="14">
        <f t="shared" si="43"/>
        <v>10.106233613312263</v>
      </c>
      <c r="DR19" s="22">
        <f t="shared" si="16"/>
        <v>74.968706876518851</v>
      </c>
      <c r="DS19" s="62">
        <f t="shared" si="17"/>
        <v>351.19092909874109</v>
      </c>
      <c r="DT19" s="62">
        <f ca="1">AVERAGE(OFFSET($DS$3,0,0,'Données projet'!$E$14+1,1))-AVERAGE(OFFSET($H$3,0,0,'Données projet'!$E$14+1,1))</f>
        <v>290.46086333591074</v>
      </c>
      <c r="DU19" s="62">
        <f t="shared" si="44"/>
        <v>236.8495901994267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10</v>
      </c>
      <c r="EJ19" s="13">
        <f>IF('Données projet'!$A$192&gt;35,EJ18+EI19-ER18,IF(A19&lt;'Données projet'!$A$192,$EG$205^A19,IF(A19='Données projet'!$A$192,'Données projet'!$B$192,EJ18+EI19-ER18)))</f>
        <v>59</v>
      </c>
      <c r="EK19" s="18">
        <f>EJ19*VLOOKUP('Données projet'!$B$15,Paramètres!$A$1:$I$89,3,0)*VLOOKUP('Données projet'!$B$15,Paramètres!$A$1:$I$89,5,0)</f>
        <v>47.860800000000005</v>
      </c>
      <c r="EL19" s="14">
        <f t="shared" si="45"/>
        <v>14.059903887836867</v>
      </c>
      <c r="EM19" s="22">
        <f t="shared" si="19"/>
        <v>107.84522593798255</v>
      </c>
      <c r="EN19" s="62">
        <f t="shared" si="20"/>
        <v>384.06744816020478</v>
      </c>
      <c r="EO19" s="62">
        <f ca="1">AVERAGE(OFFSET($EN$3,0,0,'Données projet'!$E$15+1,1))-AVERAGE(OFFSET($H$3,0,0,'Données projet'!$E$15+1,1))</f>
        <v>256.19915261735281</v>
      </c>
      <c r="EP19" s="62">
        <f t="shared" si="46"/>
        <v>297.47246687305056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2.1666666666666665</v>
      </c>
      <c r="N20" s="14">
        <f>IF('Données projet'!$A$36&gt;35,N19+M20-V19,IF(A20&lt;'Données projet'!$A$36,$K$205^A20,IF(A20='Données projet'!$A$36,'Données projet'!$B$36,N19+M20-V19)))</f>
        <v>7.3333333333333321</v>
      </c>
      <c r="O20" s="14">
        <f>N20*VLOOKUP('Données projet'!$B$9,Paramètres!$A$1:$I$89,3,0)*VLOOKUP('Données projet'!$B$9,Paramètres!$A$1:$I$89,5,0)</f>
        <v>6.2919999999999998</v>
      </c>
      <c r="P20" s="14">
        <f t="shared" si="33"/>
        <v>2.3407863298509932</v>
      </c>
      <c r="Q20" s="22">
        <f t="shared" si="2"/>
        <v>15.035436191157146</v>
      </c>
      <c r="R20" s="62">
        <f t="shared" si="0"/>
        <v>292.4798806356016</v>
      </c>
      <c r="S20" s="62">
        <f ca="1">AVERAGE(OFFSET($R$3,0,0,'Données projet'!$E$9+1,1))-AVERAGE(OFFSET($H$3,0,0,'Données projet'!$E$9+1,1))</f>
        <v>446.27304516866047</v>
      </c>
      <c r="T20" s="62">
        <f t="shared" si="34"/>
        <v>230.82970731138215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</v>
      </c>
      <c r="AI20" s="14">
        <f>IF('Données projet'!$A$62&gt;35,AI19+AH20-AQ19,IF(A20&lt;'Données projet'!$A$62,$AF$205^A20,IF(A20='Données projet'!$A$62,'Données projet'!$B$62,AI19+AH20-AQ19)))</f>
        <v>124</v>
      </c>
      <c r="AJ20" s="14">
        <f>AI20*VLOOKUP('Données projet'!$B$10,Paramètres!$A$1:$I$89,3,0)*VLOOKUP('Données projet'!$B$10,Paramètres!$A$1:$I$89,5,0)</f>
        <v>98.65440000000001</v>
      </c>
      <c r="AK20" s="14">
        <f t="shared" si="35"/>
        <v>26.641174586135573</v>
      </c>
      <c r="AL20" s="22">
        <f t="shared" si="4"/>
        <v>218.22312573751947</v>
      </c>
      <c r="AM20" s="62">
        <f t="shared" si="5"/>
        <v>495.66757018196392</v>
      </c>
      <c r="AN20" s="62">
        <f ca="1">AVERAGE(OFFSET($AM$3,0,0,'Données projet'!$E$10+1,1))-AVERAGE(OFFSET($H$3,0,0,'Données projet'!$E$10+1,1))</f>
        <v>427.78067187784063</v>
      </c>
      <c r="AO20" s="62">
        <f t="shared" si="36"/>
        <v>464.22892523825118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9</v>
      </c>
      <c r="BD20" s="13">
        <f>IF('Données projet'!$A$88&gt;35,BD19+BC20-BL19,IF(A20&lt;'Données projet'!$A$88,$BA$205^A20,IF(A20='Données projet'!$A$88,'Données projet'!$B$88,BD19+BC20-BL19)))</f>
        <v>58</v>
      </c>
      <c r="BE20" s="14">
        <f>BD20*VLOOKUP('Données projet'!$B$11,Paramètres!$A$1:$I$89,3,0)*VLOOKUP('Données projet'!$B$11,Paramètres!$A$1:$I$89,5,0)</f>
        <v>45.24</v>
      </c>
      <c r="BF20" s="14">
        <f t="shared" si="37"/>
        <v>13.377403626687906</v>
      </c>
      <c r="BG20" s="22">
        <f t="shared" si="7"/>
        <v>102.09197798314811</v>
      </c>
      <c r="BH20" s="62">
        <f t="shared" si="8"/>
        <v>379.53642242759258</v>
      </c>
      <c r="BI20" s="62">
        <f ca="1">AVERAGE(OFFSET($BH$3,0,0,'Données projet'!$E$11+1,1))-AVERAGE(OFFSET($H$3,0,0,'Données projet'!$E$11+1,1))</f>
        <v>312.09994042858187</v>
      </c>
      <c r="BJ20" s="62">
        <f t="shared" si="38"/>
        <v>283.48738729114024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13.8</v>
      </c>
      <c r="BY20" s="13">
        <f>IF('Données projet'!$A$114&gt;35,BY19+BX20-CG19,IF(A20&lt;'Données projet'!$A$114,$BV$205^A20,IF(A20='Données projet'!$A$114,'Données projet'!$B$114,BY19+BX20-CG19)))</f>
        <v>92.6</v>
      </c>
      <c r="BZ20" s="14">
        <f>BY20*VLOOKUP('Données projet'!$B$12,Paramètres!$A$1:$I$89,3,0)*VLOOKUP('Données projet'!$B$12,Paramètres!$A$1:$I$89,5,0)</f>
        <v>73.672560000000004</v>
      </c>
      <c r="CA20" s="14">
        <f t="shared" si="39"/>
        <v>20.582751720906476</v>
      </c>
      <c r="CB20" s="22">
        <f t="shared" si="10"/>
        <v>164.16133458057877</v>
      </c>
      <c r="CC20" s="62">
        <f t="shared" si="11"/>
        <v>441.60577902502325</v>
      </c>
      <c r="CD20" s="62">
        <f ca="1">AVERAGE(OFFSET($CC$3,0,0,'Données projet'!$E$12+1,1))-AVERAGE(OFFSET($H$3,0,0,'Données projet'!$E$12+1,1))</f>
        <v>370.79299728190904</v>
      </c>
      <c r="CE20" s="62">
        <f t="shared" si="40"/>
        <v>404.95703400805775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5.8974358974358978</v>
      </c>
      <c r="CT20" s="13">
        <f>IF('Données projet'!$A$140&gt;35,CT19+CS20-DB19,IF(A20&lt;'Données projet'!$A$140,$CQ$205^A20,IF(A20='Données projet'!$A$140,'Données projet'!$B$140,CT19+CS20-DB19)))</f>
        <v>45.769230769230766</v>
      </c>
      <c r="CU20" s="18">
        <f>CT20*VLOOKUP('Données projet'!$B$13,Paramètres!$A$1:$I$89,3,0)*VLOOKUP('Données projet'!$B$13,Paramètres!$A$1:$I$89,5,0)</f>
        <v>43.554000000000002</v>
      </c>
      <c r="CV20" s="14">
        <f t="shared" si="41"/>
        <v>12.935917793577156</v>
      </c>
      <c r="CW20" s="22">
        <f t="shared" si="13"/>
        <v>98.386606823813551</v>
      </c>
      <c r="CX20" s="62">
        <f t="shared" si="14"/>
        <v>375.83105126825802</v>
      </c>
      <c r="CY20" s="62">
        <f ca="1">AVERAGE(OFFSET($CX$3,0,0,'Données projet'!$E$13+1,1))-AVERAGE(OFFSET($H$3,0,0,'Données projet'!$E$13+1,1))</f>
        <v>351.34897243264044</v>
      </c>
      <c r="CZ20" s="62">
        <f t="shared" si="42"/>
        <v>268.39685058071603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7.4358974358974352</v>
      </c>
      <c r="DO20" s="13">
        <f>IF('Données projet'!$A$166&gt;35,DO19+DN20-DW19,IF(A20&lt;'Données projet'!$A$166,$DL$205^A20,IF(A20='Données projet'!$A$166,'Données projet'!$B$166,DO19+DN20-DW19)))</f>
        <v>56.53846153846154</v>
      </c>
      <c r="DP20" s="18">
        <f>DO20*VLOOKUP('Données projet'!$B$14,Paramètres!$A$1:$I$89,3,0)*VLOOKUP('Données projet'!$B$14,Paramètres!$A$1:$I$89,5,0)</f>
        <v>37.926000000000002</v>
      </c>
      <c r="DQ20" s="14">
        <f t="shared" si="43"/>
        <v>11.447241207652391</v>
      </c>
      <c r="DR20" s="22">
        <f t="shared" si="16"/>
        <v>85.991728436661262</v>
      </c>
      <c r="DS20" s="62">
        <f t="shared" si="17"/>
        <v>363.43617288110573</v>
      </c>
      <c r="DT20" s="62">
        <f ca="1">AVERAGE(OFFSET($DS$3,0,0,'Données projet'!$E$14+1,1))-AVERAGE(OFFSET($H$3,0,0,'Données projet'!$E$14+1,1))</f>
        <v>290.46086333591074</v>
      </c>
      <c r="DU20" s="62">
        <f t="shared" si="44"/>
        <v>236.8495901994267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10</v>
      </c>
      <c r="EJ20" s="13">
        <f>IF('Données projet'!$A$192&gt;35,EJ19+EI20-ER19,IF(A20&lt;'Données projet'!$A$192,$EG$205^A20,IF(A20='Données projet'!$A$192,'Données projet'!$B$192,EJ19+EI20-ER19)))</f>
        <v>69</v>
      </c>
      <c r="EK20" s="18">
        <f>EJ20*VLOOKUP('Données projet'!$B$15,Paramètres!$A$1:$I$89,3,0)*VLOOKUP('Données projet'!$B$15,Paramètres!$A$1:$I$89,5,0)</f>
        <v>55.972800000000007</v>
      </c>
      <c r="EL20" s="14">
        <f t="shared" si="45"/>
        <v>16.145985978099571</v>
      </c>
      <c r="EM20" s="22">
        <f t="shared" si="19"/>
        <v>125.60688557852342</v>
      </c>
      <c r="EN20" s="62">
        <f t="shared" si="20"/>
        <v>403.05133002296787</v>
      </c>
      <c r="EO20" s="62">
        <f ca="1">AVERAGE(OFFSET($EN$3,0,0,'Données projet'!$E$15+1,1))-AVERAGE(OFFSET($H$3,0,0,'Données projet'!$E$15+1,1))</f>
        <v>256.19915261735281</v>
      </c>
      <c r="EP20" s="62">
        <f t="shared" si="46"/>
        <v>297.47246687305056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2.1666666666666665</v>
      </c>
      <c r="N21" s="14">
        <f>IF('Données projet'!$A$36&gt;35,N20+M21-V20,IF(A21&lt;'Données projet'!$A$36,$K$205^A21,IF(A21='Données projet'!$A$36,'Données projet'!$B$36,N20+M21-V20)))</f>
        <v>9.4999999999999982</v>
      </c>
      <c r="O21" s="14">
        <f>N21*VLOOKUP('Données projet'!$B$9,Paramètres!$A$1:$I$89,3,0)*VLOOKUP('Données projet'!$B$9,Paramètres!$A$1:$I$89,5,0)</f>
        <v>8.1509999999999998</v>
      </c>
      <c r="P21" s="14">
        <f t="shared" si="33"/>
        <v>2.9423749196181186</v>
      </c>
      <c r="Q21" s="22">
        <f t="shared" si="2"/>
        <v>19.320961318334884</v>
      </c>
      <c r="R21" s="62">
        <f t="shared" si="0"/>
        <v>297.98762798500155</v>
      </c>
      <c r="S21" s="62">
        <f ca="1">AVERAGE(OFFSET($R$3,0,0,'Données projet'!$E$9+1,1))-AVERAGE(OFFSET($H$3,0,0,'Données projet'!$E$9+1,1))</f>
        <v>446.27304516866047</v>
      </c>
      <c r="T21" s="62">
        <f t="shared" si="34"/>
        <v>230.82970731138215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16</v>
      </c>
      <c r="AI21" s="14">
        <f>IF('Données projet'!$A$62&gt;35,AI20+AH21-AQ20,IF(A21&lt;'Données projet'!$A$62,$AF$205^A21,IF(A21='Données projet'!$A$62,'Données projet'!$B$62,AI20+AH21-AQ20)))</f>
        <v>140</v>
      </c>
      <c r="AJ21" s="14">
        <f>AI21*VLOOKUP('Données projet'!$B$10,Paramètres!$A$1:$I$89,3,0)*VLOOKUP('Données projet'!$B$10,Paramètres!$A$1:$I$89,5,0)</f>
        <v>111.38400000000001</v>
      </c>
      <c r="AK21" s="14">
        <f t="shared" si="35"/>
        <v>29.656828101147433</v>
      </c>
      <c r="AL21" s="22">
        <f t="shared" si="4"/>
        <v>245.6461089428318</v>
      </c>
      <c r="AM21" s="62">
        <f t="shared" si="5"/>
        <v>524.31277560949843</v>
      </c>
      <c r="AN21" s="62">
        <f ca="1">AVERAGE(OFFSET($AM$3,0,0,'Données projet'!$E$10+1,1))-AVERAGE(OFFSET($H$3,0,0,'Données projet'!$E$10+1,1))</f>
        <v>427.78067187784063</v>
      </c>
      <c r="AO21" s="62">
        <f t="shared" si="36"/>
        <v>464.22892523825118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9</v>
      </c>
      <c r="BD21" s="13">
        <f>IF('Données projet'!$A$88&gt;35,BD20+BC21-BL20,IF(A21&lt;'Données projet'!$A$88,$BA$205^A21,IF(A21='Données projet'!$A$88,'Données projet'!$B$88,BD20+BC21-BL20)))</f>
        <v>67</v>
      </c>
      <c r="BE21" s="14">
        <f>BD21*VLOOKUP('Données projet'!$B$11,Paramètres!$A$1:$I$89,3,0)*VLOOKUP('Données projet'!$B$11,Paramètres!$A$1:$I$89,5,0)</f>
        <v>52.260000000000005</v>
      </c>
      <c r="BF21" s="14">
        <f t="shared" si="37"/>
        <v>15.19590435807994</v>
      </c>
      <c r="BG21" s="22">
        <f t="shared" si="7"/>
        <v>117.48570009032257</v>
      </c>
      <c r="BH21" s="62">
        <f t="shared" si="8"/>
        <v>396.15236675698924</v>
      </c>
      <c r="BI21" s="62">
        <f ca="1">AVERAGE(OFFSET($BH$3,0,0,'Données projet'!$E$11+1,1))-AVERAGE(OFFSET($H$3,0,0,'Données projet'!$E$11+1,1))</f>
        <v>312.09994042858187</v>
      </c>
      <c r="BJ21" s="62">
        <f t="shared" si="38"/>
        <v>283.48738729114024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13.8</v>
      </c>
      <c r="BY21" s="13">
        <f>IF('Données projet'!$A$114&gt;35,BY20+BX21-CG20,IF(A21&lt;'Données projet'!$A$114,$BV$205^A21,IF(A21='Données projet'!$A$114,'Données projet'!$B$114,BY20+BX21-CG20)))</f>
        <v>106.39999999999999</v>
      </c>
      <c r="BZ21" s="14">
        <f>BY21*VLOOKUP('Données projet'!$B$12,Paramètres!$A$1:$I$89,3,0)*VLOOKUP('Données projet'!$B$12,Paramètres!$A$1:$I$89,5,0)</f>
        <v>84.651839999999993</v>
      </c>
      <c r="CA21" s="14">
        <f t="shared" si="39"/>
        <v>23.2708148096863</v>
      </c>
      <c r="CB21" s="22">
        <f t="shared" si="10"/>
        <v>187.96529046020362</v>
      </c>
      <c r="CC21" s="62">
        <f t="shared" si="11"/>
        <v>466.6319571268703</v>
      </c>
      <c r="CD21" s="62">
        <f ca="1">AVERAGE(OFFSET($CC$3,0,0,'Données projet'!$E$12+1,1))-AVERAGE(OFFSET($H$3,0,0,'Données projet'!$E$12+1,1))</f>
        <v>370.79299728190904</v>
      </c>
      <c r="CE21" s="62">
        <f t="shared" si="40"/>
        <v>404.95703400805775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5.8974358974358978</v>
      </c>
      <c r="CT21" s="13">
        <f>IF('Données projet'!$A$140&gt;35,CT20+CS21-DB20,IF(A21&lt;'Données projet'!$A$140,$CQ$205^A21,IF(A21='Données projet'!$A$140,'Données projet'!$B$140,CT20+CS21-DB20)))</f>
        <v>51.666666666666664</v>
      </c>
      <c r="CU21" s="18">
        <f>CT21*VLOOKUP('Données projet'!$B$13,Paramètres!$A$1:$I$89,3,0)*VLOOKUP('Données projet'!$B$13,Paramètres!$A$1:$I$89,5,0)</f>
        <v>49.165999999999997</v>
      </c>
      <c r="CV21" s="14">
        <f t="shared" si="41"/>
        <v>14.398165127385489</v>
      </c>
      <c r="CW21" s="22">
        <f t="shared" si="13"/>
        <v>110.70758759686305</v>
      </c>
      <c r="CX21" s="62">
        <f t="shared" si="14"/>
        <v>389.37425426352974</v>
      </c>
      <c r="CY21" s="62">
        <f ca="1">AVERAGE(OFFSET($CX$3,0,0,'Données projet'!$E$13+1,1))-AVERAGE(OFFSET($H$3,0,0,'Données projet'!$E$13+1,1))</f>
        <v>351.34897243264044</v>
      </c>
      <c r="CZ21" s="62">
        <f t="shared" si="42"/>
        <v>268.39685058071603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7.4358974358974352</v>
      </c>
      <c r="DO21" s="13">
        <f>IF('Données projet'!$A$166&gt;35,DO20+DN21-DW20,IF(A21&lt;'Données projet'!$A$166,$DL$205^A21,IF(A21='Données projet'!$A$166,'Données projet'!$B$166,DO20+DN21-DW20)))</f>
        <v>63.974358974358978</v>
      </c>
      <c r="DP21" s="18">
        <f>DO21*VLOOKUP('Données projet'!$B$14,Paramètres!$A$1:$I$89,3,0)*VLOOKUP('Données projet'!$B$14,Paramètres!$A$1:$I$89,5,0)</f>
        <v>42.914000000000001</v>
      </c>
      <c r="DQ21" s="14">
        <f t="shared" si="43"/>
        <v>12.767813741258394</v>
      </c>
      <c r="DR21" s="22">
        <f t="shared" si="16"/>
        <v>96.979158932691703</v>
      </c>
      <c r="DS21" s="62">
        <f t="shared" si="17"/>
        <v>375.64582559935837</v>
      </c>
      <c r="DT21" s="62">
        <f ca="1">AVERAGE(OFFSET($DS$3,0,0,'Données projet'!$E$14+1,1))-AVERAGE(OFFSET($H$3,0,0,'Données projet'!$E$14+1,1))</f>
        <v>290.46086333591074</v>
      </c>
      <c r="DU21" s="62">
        <f t="shared" si="44"/>
        <v>236.8495901994267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10</v>
      </c>
      <c r="EJ21" s="13">
        <f>IF('Données projet'!$A$192&gt;35,EJ20+EI21-ER20,IF(A21&lt;'Données projet'!$A$192,$EG$205^A21,IF(A21='Données projet'!$A$192,'Données projet'!$B$192,EJ20+EI21-ER20)))</f>
        <v>79</v>
      </c>
      <c r="EK21" s="18">
        <f>EJ21*VLOOKUP('Données projet'!$B$15,Paramètres!$A$1:$I$89,3,0)*VLOOKUP('Données projet'!$B$15,Paramètres!$A$1:$I$89,5,0)</f>
        <v>64.084800000000001</v>
      </c>
      <c r="EL21" s="14">
        <f t="shared" si="45"/>
        <v>18.197042620605469</v>
      </c>
      <c r="EM21" s="22">
        <f t="shared" si="19"/>
        <v>143.30754256422119</v>
      </c>
      <c r="EN21" s="62">
        <f t="shared" si="20"/>
        <v>421.97420923088788</v>
      </c>
      <c r="EO21" s="62">
        <f ca="1">AVERAGE(OFFSET($EN$3,0,0,'Données projet'!$E$15+1,1))-AVERAGE(OFFSET($H$3,0,0,'Données projet'!$E$15+1,1))</f>
        <v>256.19915261735281</v>
      </c>
      <c r="EP21" s="62">
        <f t="shared" si="46"/>
        <v>297.47246687305056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2.1666666666666665</v>
      </c>
      <c r="N22" s="14">
        <f>IF('Données projet'!$A$36&gt;35,N21+M22-V21,IF(A22&lt;'Données projet'!$A$36,$K$205^A22,IF(A22='Données projet'!$A$36,'Données projet'!$B$36,N21+M22-V21)))</f>
        <v>11.666666666666664</v>
      </c>
      <c r="O22" s="14">
        <f>N22*VLOOKUP('Données projet'!$B$9,Paramètres!$A$1:$I$89,3,0)*VLOOKUP('Données projet'!$B$9,Paramètres!$A$1:$I$89,5,0)</f>
        <v>10.01</v>
      </c>
      <c r="P22" s="14">
        <f t="shared" si="33"/>
        <v>3.5280571841195472</v>
      </c>
      <c r="Q22" s="22">
        <f t="shared" si="2"/>
        <v>23.578782929008209</v>
      </c>
      <c r="R22" s="62">
        <f t="shared" si="0"/>
        <v>303.46767181789704</v>
      </c>
      <c r="S22" s="62">
        <f ca="1">AVERAGE(OFFSET($R$3,0,0,'Données projet'!$E$9+1,1))-AVERAGE(OFFSET($H$3,0,0,'Données projet'!$E$9+1,1))</f>
        <v>446.27304516866047</v>
      </c>
      <c r="T22" s="62">
        <f t="shared" si="34"/>
        <v>230.82970731138215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16</v>
      </c>
      <c r="AI22" s="14">
        <f>IF('Données projet'!$A$62&gt;35,AI21+AH22-AQ21,IF(A22&lt;'Données projet'!$A$62,$AF$205^A22,IF(A22='Données projet'!$A$62,'Données projet'!$B$62,AI21+AH22-AQ21)))</f>
        <v>156</v>
      </c>
      <c r="AJ22" s="14">
        <f>AI22*VLOOKUP('Données projet'!$B$10,Paramètres!$A$1:$I$89,3,0)*VLOOKUP('Données projet'!$B$10,Paramètres!$A$1:$I$89,5,0)</f>
        <v>124.11360000000001</v>
      </c>
      <c r="AK22" s="14">
        <f t="shared" si="35"/>
        <v>32.632538771598028</v>
      </c>
      <c r="AL22" s="22">
        <f t="shared" si="4"/>
        <v>272.99952502719992</v>
      </c>
      <c r="AM22" s="62">
        <f t="shared" si="5"/>
        <v>552.88841391608878</v>
      </c>
      <c r="AN22" s="62">
        <f ca="1">AVERAGE(OFFSET($AM$3,0,0,'Données projet'!$E$10+1,1))-AVERAGE(OFFSET($H$3,0,0,'Données projet'!$E$10+1,1))</f>
        <v>427.78067187784063</v>
      </c>
      <c r="AO22" s="62">
        <f t="shared" si="36"/>
        <v>464.22892523825118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9</v>
      </c>
      <c r="BD22" s="13">
        <f>IF('Données projet'!$A$88&gt;35,BD21+BC22-BL21,IF(A22&lt;'Données projet'!$A$88,$BA$205^A22,IF(A22='Données projet'!$A$88,'Données projet'!$B$88,BD21+BC22-BL21)))</f>
        <v>76</v>
      </c>
      <c r="BE22" s="14">
        <f>BD22*VLOOKUP('Données projet'!$B$11,Paramètres!$A$1:$I$89,3,0)*VLOOKUP('Données projet'!$B$11,Paramètres!$A$1:$I$89,5,0)</f>
        <v>59.28</v>
      </c>
      <c r="BF22" s="14">
        <f t="shared" si="37"/>
        <v>16.986102715383485</v>
      </c>
      <c r="BG22" s="22">
        <f t="shared" si="7"/>
        <v>132.83012889595955</v>
      </c>
      <c r="BH22" s="62">
        <f t="shared" si="8"/>
        <v>412.7190177848484</v>
      </c>
      <c r="BI22" s="62">
        <f ca="1">AVERAGE(OFFSET($BH$3,0,0,'Données projet'!$E$11+1,1))-AVERAGE(OFFSET($H$3,0,0,'Données projet'!$E$11+1,1))</f>
        <v>312.09994042858187</v>
      </c>
      <c r="BJ22" s="62">
        <f t="shared" si="38"/>
        <v>283.48738729114024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13.8</v>
      </c>
      <c r="BY22" s="13">
        <f>IF('Données projet'!$A$114&gt;35,BY21+BX22-CG21,IF(A22&lt;'Données projet'!$A$114,$BV$205^A22,IF(A22='Données projet'!$A$114,'Données projet'!$B$114,BY21+BX22-CG21)))</f>
        <v>120.19999999999999</v>
      </c>
      <c r="BZ22" s="14">
        <f>BY22*VLOOKUP('Données projet'!$B$12,Paramètres!$A$1:$I$89,3,0)*VLOOKUP('Données projet'!$B$12,Paramètres!$A$1:$I$89,5,0)</f>
        <v>95.631119999999996</v>
      </c>
      <c r="CA22" s="14">
        <f t="shared" si="39"/>
        <v>25.918481589892259</v>
      </c>
      <c r="CB22" s="22">
        <f t="shared" si="10"/>
        <v>211.698889435729</v>
      </c>
      <c r="CC22" s="62">
        <f t="shared" si="11"/>
        <v>491.58777832461783</v>
      </c>
      <c r="CD22" s="62">
        <f ca="1">AVERAGE(OFFSET($CC$3,0,0,'Données projet'!$E$12+1,1))-AVERAGE(OFFSET($H$3,0,0,'Données projet'!$E$12+1,1))</f>
        <v>370.79299728190904</v>
      </c>
      <c r="CE22" s="62">
        <f t="shared" si="40"/>
        <v>404.95703400805775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5.8974358974358978</v>
      </c>
      <c r="CT22" s="13">
        <f>IF('Données projet'!$A$140&gt;35,CT21+CS22-DB21,IF(A22&lt;'Données projet'!$A$140,$CQ$205^A22,IF(A22='Données projet'!$A$140,'Données projet'!$B$140,CT21+CS22-DB21)))</f>
        <v>57.564102564102562</v>
      </c>
      <c r="CU22" s="18">
        <f>CT22*VLOOKUP('Données projet'!$B$13,Paramètres!$A$1:$I$89,3,0)*VLOOKUP('Données projet'!$B$13,Paramètres!$A$1:$I$89,5,0)</f>
        <v>54.777999999999992</v>
      </c>
      <c r="CV22" s="14">
        <f t="shared" si="41"/>
        <v>15.841068726644904</v>
      </c>
      <c r="CW22" s="22">
        <f t="shared" si="13"/>
        <v>122.99487803223985</v>
      </c>
      <c r="CX22" s="62">
        <f t="shared" si="14"/>
        <v>402.88376692112871</v>
      </c>
      <c r="CY22" s="62">
        <f ca="1">AVERAGE(OFFSET($CX$3,0,0,'Données projet'!$E$13+1,1))-AVERAGE(OFFSET($H$3,0,0,'Données projet'!$E$13+1,1))</f>
        <v>351.34897243264044</v>
      </c>
      <c r="CZ22" s="62">
        <f t="shared" si="42"/>
        <v>268.39685058071603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7.4358974358974352</v>
      </c>
      <c r="DO22" s="13">
        <f>IF('Données projet'!$A$166&gt;35,DO21+DN22-DW21,IF(A22&lt;'Données projet'!$A$166,$DL$205^A22,IF(A22='Données projet'!$A$166,'Données projet'!$B$166,DO21+DN22-DW21)))</f>
        <v>71.410256410256409</v>
      </c>
      <c r="DP22" s="18">
        <f>DO22*VLOOKUP('Données projet'!$B$14,Paramètres!$A$1:$I$89,3,0)*VLOOKUP('Données projet'!$B$14,Paramètres!$A$1:$I$89,5,0)</f>
        <v>47.902000000000001</v>
      </c>
      <c r="DQ22" s="14">
        <f t="shared" si="43"/>
        <v>14.070597725071474</v>
      </c>
      <c r="DR22" s="22">
        <f t="shared" si="16"/>
        <v>107.93560770449947</v>
      </c>
      <c r="DS22" s="62">
        <f t="shared" si="17"/>
        <v>387.82449659338835</v>
      </c>
      <c r="DT22" s="62">
        <f ca="1">AVERAGE(OFFSET($DS$3,0,0,'Données projet'!$E$14+1,1))-AVERAGE(OFFSET($H$3,0,0,'Données projet'!$E$14+1,1))</f>
        <v>290.46086333591074</v>
      </c>
      <c r="DU22" s="62">
        <f t="shared" si="44"/>
        <v>236.8495901994267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10</v>
      </c>
      <c r="EJ22" s="13">
        <f>IF('Données projet'!$A$192&gt;35,EJ21+EI22-ER21,IF(A22&lt;'Données projet'!$A$192,$EG$205^A22,IF(A22='Données projet'!$A$192,'Données projet'!$B$192,EJ21+EI22-ER21)))</f>
        <v>89</v>
      </c>
      <c r="EK22" s="18">
        <f>EJ22*VLOOKUP('Données projet'!$B$15,Paramètres!$A$1:$I$89,3,0)*VLOOKUP('Données projet'!$B$15,Paramètres!$A$1:$I$89,5,0)</f>
        <v>72.19680000000001</v>
      </c>
      <c r="EL22" s="14">
        <f t="shared" si="45"/>
        <v>20.218015459285922</v>
      </c>
      <c r="EM22" s="22">
        <f t="shared" si="19"/>
        <v>160.95580359158967</v>
      </c>
      <c r="EN22" s="62">
        <f t="shared" si="20"/>
        <v>440.84469248047856</v>
      </c>
      <c r="EO22" s="62">
        <f ca="1">AVERAGE(OFFSET($EN$3,0,0,'Données projet'!$E$15+1,1))-AVERAGE(OFFSET($H$3,0,0,'Données projet'!$E$15+1,1))</f>
        <v>256.19915261735281</v>
      </c>
      <c r="EP22" s="62">
        <f t="shared" si="46"/>
        <v>297.47246687305056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2.1666666666666665</v>
      </c>
      <c r="N23" s="14">
        <f>IF('Données projet'!$A$36&gt;35,N22+M23-V22,IF(A23&lt;'Données projet'!$A$36,$K$205^A23,IF(A23='Données projet'!$A$36,'Données projet'!$B$36,N22+M23-V22)))</f>
        <v>13.83333333333333</v>
      </c>
      <c r="O23" s="14">
        <f>N23*VLOOKUP('Données projet'!$B$9,Paramètres!$A$1:$I$89,3,0)*VLOOKUP('Données projet'!$B$9,Paramètres!$A$1:$I$89,5,0)</f>
        <v>11.869</v>
      </c>
      <c r="P23" s="14">
        <f t="shared" si="33"/>
        <v>4.1011380642449886</v>
      </c>
      <c r="Q23" s="22">
        <f t="shared" si="2"/>
        <v>27.814657128560018</v>
      </c>
      <c r="R23" s="62">
        <f t="shared" si="0"/>
        <v>308.92576823967119</v>
      </c>
      <c r="S23" s="62">
        <f ca="1">AVERAGE(OFFSET($R$3,0,0,'Données projet'!$E$9+1,1))-AVERAGE(OFFSET($H$3,0,0,'Données projet'!$E$9+1,1))</f>
        <v>446.27304516866047</v>
      </c>
      <c r="T23" s="62">
        <f t="shared" si="34"/>
        <v>230.82970731138215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172</v>
      </c>
      <c r="AG23" s="13">
        <f>VLOOKUP(A23,'Données projet'!$A$61:$I$81,9,0)</f>
        <v>16</v>
      </c>
      <c r="AH23" s="13">
        <f t="array" ref="AH23">INDEX(AG:AG,MIN(IF(ISNUMBER(AG23:AG219),ROW(AG23:AG219),"")))</f>
        <v>16</v>
      </c>
      <c r="AI23" s="14">
        <f>IF('Données projet'!$A$62&gt;35,AI22+AH23-AQ22,IF(A23&lt;'Données projet'!$A$62,$AF$205^A23,IF(A23='Données projet'!$A$62,'Données projet'!$B$62,AI22+AH23-AQ22)))</f>
        <v>172</v>
      </c>
      <c r="AJ23" s="14">
        <f>AI23*VLOOKUP('Données projet'!$B$10,Paramètres!$A$1:$I$89,3,0)*VLOOKUP('Données projet'!$B$10,Paramètres!$A$1:$I$89,5,0)</f>
        <v>136.8432</v>
      </c>
      <c r="AK23" s="14">
        <f t="shared" si="35"/>
        <v>35.572869837729648</v>
      </c>
      <c r="AL23" s="22">
        <f t="shared" si="4"/>
        <v>300.2913216340458</v>
      </c>
      <c r="AM23" s="62">
        <f t="shared" si="5"/>
        <v>581.40243274515694</v>
      </c>
      <c r="AN23" s="62">
        <f ca="1">AVERAGE(OFFSET($AM$3,0,0,'Données projet'!$E$10+1,1))-AVERAGE(OFFSET($H$3,0,0,'Données projet'!$E$10+1,1))</f>
        <v>427.78067187784063</v>
      </c>
      <c r="AO23" s="62">
        <f t="shared" si="36"/>
        <v>464.22892523825118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91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85</v>
      </c>
      <c r="BB23" s="13">
        <f>VLOOKUP(A23,'Données projet'!$A$87:$I$107,9,0)</f>
        <v>9</v>
      </c>
      <c r="BC23" s="13">
        <f t="array" ref="BC23">INDEX(BB:BB,MIN(IF(ISNUMBER(BB23:BB219),ROW(BB23:BB219),"")))</f>
        <v>9</v>
      </c>
      <c r="BD23" s="13">
        <f>IF('Données projet'!$A$88&gt;35,BD22+BC23-BL22,IF(A23&lt;'Données projet'!$A$88,$BA$205^A23,IF(A23='Données projet'!$A$88,'Données projet'!$B$88,BD22+BC23-BL22)))</f>
        <v>85</v>
      </c>
      <c r="BE23" s="14">
        <f>BD23*VLOOKUP('Données projet'!$B$11,Paramètres!$A$1:$I$89,3,0)*VLOOKUP('Données projet'!$B$11,Paramètres!$A$1:$I$89,5,0)</f>
        <v>66.3</v>
      </c>
      <c r="BF23" s="14">
        <f t="shared" si="37"/>
        <v>18.751733344032118</v>
      </c>
      <c r="BG23" s="22">
        <f t="shared" si="7"/>
        <v>148.13176890752257</v>
      </c>
      <c r="BH23" s="62">
        <f t="shared" si="8"/>
        <v>429.24288001863374</v>
      </c>
      <c r="BI23" s="62">
        <f ca="1">AVERAGE(OFFSET($BH$3,0,0,'Données projet'!$E$11+1,1))-AVERAGE(OFFSET($H$3,0,0,'Données projet'!$E$11+1,1))</f>
        <v>312.09994042858187</v>
      </c>
      <c r="BJ23" s="62">
        <f t="shared" si="38"/>
        <v>283.48738729114024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28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134</v>
      </c>
      <c r="BW23" s="13">
        <f>VLOOKUP(A23,'Données projet'!$A$113:$I$133,9,0)</f>
        <v>13.8</v>
      </c>
      <c r="BX23" s="13">
        <f t="array" ref="BX23">INDEX(BW:BW,MIN(IF(ISNUMBER(BW23:BW219),ROW(BW23:BW219),"")))</f>
        <v>13.8</v>
      </c>
      <c r="BY23" s="13">
        <f>IF('Données projet'!$A$114&gt;35,BY22+BX23-CG22,IF(A23&lt;'Données projet'!$A$114,$BV$205^A23,IF(A23='Données projet'!$A$114,'Données projet'!$B$114,BY22+BX23-CG22)))</f>
        <v>134</v>
      </c>
      <c r="BZ23" s="14">
        <f>BY23*VLOOKUP('Données projet'!$B$12,Paramètres!$A$1:$I$89,3,0)*VLOOKUP('Données projet'!$B$12,Paramètres!$A$1:$I$89,5,0)</f>
        <v>106.61040000000001</v>
      </c>
      <c r="CA23" s="14">
        <f t="shared" si="39"/>
        <v>28.530919434405451</v>
      </c>
      <c r="CB23" s="22">
        <f t="shared" si="10"/>
        <v>235.3711313482562</v>
      </c>
      <c r="CC23" s="62">
        <f t="shared" si="11"/>
        <v>516.4822424593674</v>
      </c>
      <c r="CD23" s="62">
        <f ca="1">AVERAGE(OFFSET($CC$3,0,0,'Données projet'!$E$12+1,1))-AVERAGE(OFFSET($H$3,0,0,'Données projet'!$E$12+1,1))</f>
        <v>370.79299728190904</v>
      </c>
      <c r="CE23" s="62">
        <f t="shared" si="40"/>
        <v>404.95703400805775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67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63.46153846153846</v>
      </c>
      <c r="CR23" s="13">
        <f>VLOOKUP(A23,'Données projet'!$A$139:$I$159,9,0)</f>
        <v>5.8974358974358978</v>
      </c>
      <c r="CS23" s="13">
        <f t="array" ref="CS23">INDEX(CR:CR,MIN(IF(ISNUMBER(CR23:CR219),ROW(CR23:CR219),"")))</f>
        <v>5.8974358974358978</v>
      </c>
      <c r="CT23" s="13">
        <f>IF('Données projet'!$A$140&gt;35,CT22+CS23-DB22,IF(A23&lt;'Données projet'!$A$140,$CQ$205^A23,IF(A23='Données projet'!$A$140,'Données projet'!$B$140,CT22+CS23-DB22)))</f>
        <v>63.46153846153846</v>
      </c>
      <c r="CU23" s="18">
        <f>CT23*VLOOKUP('Données projet'!$B$13,Paramètres!$A$1:$I$89,3,0)*VLOOKUP('Données projet'!$B$13,Paramètres!$A$1:$I$89,5,0)</f>
        <v>60.39</v>
      </c>
      <c r="CV23" s="14">
        <f t="shared" si="41"/>
        <v>17.266836036680591</v>
      </c>
      <c r="CW23" s="22">
        <f t="shared" si="13"/>
        <v>135.25232276388536</v>
      </c>
      <c r="CX23" s="62">
        <f t="shared" si="14"/>
        <v>416.36343387499653</v>
      </c>
      <c r="CY23" s="62">
        <f ca="1">AVERAGE(OFFSET($CX$3,0,0,'Données projet'!$E$13+1,1))-AVERAGE(OFFSET($H$3,0,0,'Données projet'!$E$13+1,1))</f>
        <v>351.34897243264044</v>
      </c>
      <c r="CZ23" s="62">
        <f t="shared" si="42"/>
        <v>268.39685058071603</v>
      </c>
      <c r="DA23" s="16">
        <f>IF(ISNA(VLOOKUP(A23,'Données projet'!$A$139:$I$159,3,0)),0,VLOOKUP(A23,'Données projet'!$A$139:$I$159,3,0))</f>
        <v>1</v>
      </c>
      <c r="DB23" s="16">
        <f>IF(ISNA(VLOOKUP(A23,'Données projet'!$A$139:$I$159,4,0)),0,VLOOKUP(A23,'Données projet'!$A$139:$I$159,4,0))</f>
        <v>15.384615384615383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78.84615384615384</v>
      </c>
      <c r="DM23" s="13">
        <f>VLOOKUP(A23,'Données projet'!$A$165:$I$185,9,0)</f>
        <v>7.4358974358974352</v>
      </c>
      <c r="DN23" s="13">
        <f t="array" ref="DN23">INDEX(DM:DM,MIN(IF(ISNUMBER(DM23:DM219),ROW(DM23:DM219),"")))</f>
        <v>7.4358974358974352</v>
      </c>
      <c r="DO23" s="13">
        <f>IF('Données projet'!$A$166&gt;35,DO22+DN23-DW22,IF(A23&lt;'Données projet'!$A$166,$DL$205^A23,IF(A23='Données projet'!$A$166,'Données projet'!$B$166,DO22+DN23-DW22)))</f>
        <v>78.84615384615384</v>
      </c>
      <c r="DP23" s="18">
        <f>DO23*VLOOKUP('Données projet'!$B$14,Paramètres!$A$1:$I$89,3,0)*VLOOKUP('Données projet'!$B$14,Paramètres!$A$1:$I$89,5,0)</f>
        <v>52.89</v>
      </c>
      <c r="DQ23" s="14">
        <f t="shared" si="43"/>
        <v>15.357656466675607</v>
      </c>
      <c r="DR23" s="22">
        <f t="shared" si="16"/>
        <v>118.86466834612668</v>
      </c>
      <c r="DS23" s="62">
        <f t="shared" si="17"/>
        <v>399.97577945723782</v>
      </c>
      <c r="DT23" s="62">
        <f ca="1">AVERAGE(OFFSET($DS$3,0,0,'Données projet'!$E$14+1,1))-AVERAGE(OFFSET($H$3,0,0,'Données projet'!$E$14+1,1))</f>
        <v>290.46086333591074</v>
      </c>
      <c r="DU23" s="62">
        <f t="shared" si="44"/>
        <v>236.8495901994267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21.794871794871796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99</v>
      </c>
      <c r="EH23" s="13">
        <f>VLOOKUP(A23,'Données projet'!$A$191:$I$211,9,0)</f>
        <v>10</v>
      </c>
      <c r="EI23" s="13">
        <f t="array" ref="EI23">INDEX(EH:EH,MIN(IF(ISNUMBER(EH23:EH219),ROW(EH23:EH219),"")))</f>
        <v>10</v>
      </c>
      <c r="EJ23" s="13">
        <f>IF('Données projet'!$A$192&gt;35,EJ22+EI23-ER22,IF(A23&lt;'Données projet'!$A$192,$EG$205^A23,IF(A23='Données projet'!$A$192,'Données projet'!$B$192,EJ22+EI23-ER22)))</f>
        <v>99</v>
      </c>
      <c r="EK23" s="18">
        <f>EJ23*VLOOKUP('Données projet'!$B$15,Paramètres!$A$1:$I$89,3,0)*VLOOKUP('Données projet'!$B$15,Paramètres!$A$1:$I$89,5,0)</f>
        <v>80.308800000000005</v>
      </c>
      <c r="EL23" s="14">
        <f t="shared" si="45"/>
        <v>22.212670396389218</v>
      </c>
      <c r="EM23" s="22">
        <f t="shared" si="19"/>
        <v>178.55822760704453</v>
      </c>
      <c r="EN23" s="62">
        <f t="shared" si="20"/>
        <v>459.6693387181557</v>
      </c>
      <c r="EO23" s="62">
        <f ca="1">AVERAGE(OFFSET($EN$3,0,0,'Données projet'!$E$15+1,1))-AVERAGE(OFFSET($H$3,0,0,'Données projet'!$E$15+1,1))</f>
        <v>256.19915261735281</v>
      </c>
      <c r="EP23" s="62">
        <f t="shared" si="46"/>
        <v>297.47246687305056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40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>
        <f>VLOOKUP(A24,'Données projet'!$A$35:$I$55,2,0)</f>
        <v>16</v>
      </c>
      <c r="L24" s="13">
        <f>VLOOKUP(A24,'Données projet'!$A$35:$I$55,9,0)</f>
        <v>2.1666666666666665</v>
      </c>
      <c r="M24" s="13">
        <f t="array" ref="M24">INDEX(L:L,MIN(IF(ISNUMBER(L24:L220),ROW(L24:L220),"")))</f>
        <v>2.1666666666666665</v>
      </c>
      <c r="N24" s="14">
        <f>IF('Données projet'!$A$36&gt;35,N23+M24-V23,IF(A24&lt;'Données projet'!$A$36,$K$205^A24,IF(A24='Données projet'!$A$36,'Données projet'!$B$36,N23+M24-V23)))</f>
        <v>15.999999999999996</v>
      </c>
      <c r="O24" s="14">
        <f>N24*VLOOKUP('Données projet'!$B$9,Paramètres!$A$1:$I$89,3,0)*VLOOKUP('Données projet'!$B$9,Paramètres!$A$1:$I$89,5,0)</f>
        <v>13.727999999999998</v>
      </c>
      <c r="P24" s="14">
        <f t="shared" si="33"/>
        <v>4.6638207366437294</v>
      </c>
      <c r="Q24" s="22">
        <f t="shared" si="2"/>
        <v>32.032421116321153</v>
      </c>
      <c r="R24" s="62">
        <f t="shared" si="0"/>
        <v>314.36575444965445</v>
      </c>
      <c r="S24" s="62">
        <f ca="1">AVERAGE(OFFSET($R$3,0,0,'Données projet'!$E$9+1,1))-AVERAGE(OFFSET($H$3,0,0,'Données projet'!$E$9+1,1))</f>
        <v>446.27304516866047</v>
      </c>
      <c r="T24" s="62">
        <f t="shared" si="34"/>
        <v>230.82970731138215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16.8</v>
      </c>
      <c r="AI24" s="14">
        <f>IF('Données projet'!$A$62&gt;35,AI23+AH24-AQ23,IF(A24&lt;'Données projet'!$A$62,$AF$205^A24,IF(A24='Données projet'!$A$62,'Données projet'!$B$62,AI23+AH24-AQ23)))</f>
        <v>97.800000000000011</v>
      </c>
      <c r="AJ24" s="14">
        <f>AI24*VLOOKUP('Données projet'!$B$10,Paramètres!$A$1:$I$89,3,0)*VLOOKUP('Données projet'!$B$10,Paramètres!$A$1:$I$89,5,0)</f>
        <v>77.809680000000014</v>
      </c>
      <c r="AK24" s="14">
        <f t="shared" si="35"/>
        <v>21.600777311280577</v>
      </c>
      <c r="AL24" s="22">
        <f t="shared" si="4"/>
        <v>173.13987981714703</v>
      </c>
      <c r="AM24" s="62">
        <f t="shared" si="5"/>
        <v>455.47321315048032</v>
      </c>
      <c r="AN24" s="62">
        <f ca="1">AVERAGE(OFFSET($AM$3,0,0,'Données projet'!$E$10+1,1))-AVERAGE(OFFSET($H$3,0,0,'Données projet'!$E$10+1,1))</f>
        <v>427.78067187784063</v>
      </c>
      <c r="AO24" s="62">
        <f t="shared" si="36"/>
        <v>464.22892523825118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11.2</v>
      </c>
      <c r="BD24" s="13">
        <f>IF('Données projet'!$A$88&gt;35,BD23+BC24-BL23,IF(A24&lt;'Données projet'!$A$88,$BA$205^A24,IF(A24='Données projet'!$A$88,'Données projet'!$B$88,BD23+BC24-BL23)))</f>
        <v>68.2</v>
      </c>
      <c r="BE24" s="14">
        <f>BD24*VLOOKUP('Données projet'!$B$11,Paramètres!$A$1:$I$89,3,0)*VLOOKUP('Données projet'!$B$11,Paramètres!$A$1:$I$89,5,0)</f>
        <v>53.196000000000005</v>
      </c>
      <c r="BF24" s="14">
        <f t="shared" si="37"/>
        <v>15.436140726785499</v>
      </c>
      <c r="BG24" s="22">
        <f t="shared" si="7"/>
        <v>119.53431176581809</v>
      </c>
      <c r="BH24" s="62">
        <f t="shared" si="8"/>
        <v>401.86764509915139</v>
      </c>
      <c r="BI24" s="62">
        <f ca="1">AVERAGE(OFFSET($BH$3,0,0,'Données projet'!$E$11+1,1))-AVERAGE(OFFSET($H$3,0,0,'Données projet'!$E$11+1,1))</f>
        <v>312.09994042858187</v>
      </c>
      <c r="BJ24" s="62">
        <f t="shared" si="38"/>
        <v>283.48738729114024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14.8</v>
      </c>
      <c r="BY24" s="13">
        <f>IF('Données projet'!$A$114&gt;35,BY23+BX24-CG23,IF(A24&lt;'Données projet'!$A$114,$BV$205^A24,IF(A24='Données projet'!$A$114,'Données projet'!$B$114,BY23+BX24-CG23)))</f>
        <v>81.800000000000011</v>
      </c>
      <c r="BZ24" s="14">
        <f>BY24*VLOOKUP('Données projet'!$B$12,Paramètres!$A$1:$I$89,3,0)*VLOOKUP('Données projet'!$B$12,Paramètres!$A$1:$I$89,5,0)</f>
        <v>65.080080000000009</v>
      </c>
      <c r="CA24" s="14">
        <f t="shared" si="39"/>
        <v>18.44653442602603</v>
      </c>
      <c r="CB24" s="22">
        <f t="shared" si="10"/>
        <v>145.47552012532867</v>
      </c>
      <c r="CC24" s="62">
        <f t="shared" si="11"/>
        <v>427.80885345866199</v>
      </c>
      <c r="CD24" s="62">
        <f ca="1">AVERAGE(OFFSET($CC$3,0,0,'Données projet'!$E$12+1,1))-AVERAGE(OFFSET($H$3,0,0,'Données projet'!$E$12+1,1))</f>
        <v>370.79299728190904</v>
      </c>
      <c r="CE24" s="62">
        <f t="shared" si="40"/>
        <v>404.95703400805775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6.1538461538461515</v>
      </c>
      <c r="CT24" s="13">
        <f>IF('Données projet'!$A$140&gt;35,CT23+CS24-DB23,IF(A24&lt;'Données projet'!$A$140,$CQ$205^A24,IF(A24='Données projet'!$A$140,'Données projet'!$B$140,CT23+CS24-DB23)))</f>
        <v>54.230769230769226</v>
      </c>
      <c r="CU24" s="18">
        <f>CT24*VLOOKUP('Données projet'!$B$13,Paramètres!$A$1:$I$89,3,0)*VLOOKUP('Données projet'!$B$13,Paramètres!$A$1:$I$89,5,0)</f>
        <v>51.605999999999995</v>
      </c>
      <c r="CV24" s="14">
        <f t="shared" si="41"/>
        <v>15.027749940838046</v>
      </c>
      <c r="CW24" s="22">
        <f t="shared" si="13"/>
        <v>116.05378114695958</v>
      </c>
      <c r="CX24" s="62">
        <f t="shared" si="14"/>
        <v>398.38711448029289</v>
      </c>
      <c r="CY24" s="62">
        <f ca="1">AVERAGE(OFFSET($CX$3,0,0,'Données projet'!$E$13+1,1))-AVERAGE(OFFSET($H$3,0,0,'Données projet'!$E$13+1,1))</f>
        <v>351.34897243264044</v>
      </c>
      <c r="CZ24" s="62">
        <f t="shared" si="42"/>
        <v>268.39685058071603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7.8205128205128203</v>
      </c>
      <c r="DO24" s="13">
        <f>IF('Données projet'!$A$166&gt;35,DO23+DN24-DW23,IF(A24&lt;'Données projet'!$A$166,$DL$205^A24,IF(A24='Données projet'!$A$166,'Données projet'!$B$166,DO23+DN24-DW23)))</f>
        <v>64.871794871794862</v>
      </c>
      <c r="DP24" s="18">
        <f>DO24*VLOOKUP('Données projet'!$B$14,Paramètres!$A$1:$I$89,3,0)*VLOOKUP('Données projet'!$B$14,Paramètres!$A$1:$I$89,5,0)</f>
        <v>43.515999999999991</v>
      </c>
      <c r="DQ24" s="14">
        <f t="shared" si="43"/>
        <v>12.925944684628645</v>
      </c>
      <c r="DR24" s="22">
        <f t="shared" si="16"/>
        <v>98.303053659061547</v>
      </c>
      <c r="DS24" s="62">
        <f t="shared" si="17"/>
        <v>380.63638699239488</v>
      </c>
      <c r="DT24" s="62">
        <f ca="1">AVERAGE(OFFSET($DS$3,0,0,'Données projet'!$E$14+1,1))-AVERAGE(OFFSET($H$3,0,0,'Données projet'!$E$14+1,1))</f>
        <v>290.46086333591074</v>
      </c>
      <c r="DU24" s="62">
        <f t="shared" si="44"/>
        <v>236.8495901994267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8.6</v>
      </c>
      <c r="EJ24" s="13">
        <f>IF('Données projet'!$A$192&gt;35,EJ23+EI24-ER23,IF(A24&lt;'Données projet'!$A$192,$EG$205^A24,IF(A24='Données projet'!$A$192,'Données projet'!$B$192,EJ23+EI24-ER23)))</f>
        <v>67.599999999999994</v>
      </c>
      <c r="EK24" s="18">
        <f>EJ24*VLOOKUP('Données projet'!$B$15,Paramètres!$A$1:$I$89,3,0)*VLOOKUP('Données projet'!$B$15,Paramètres!$A$1:$I$89,5,0)</f>
        <v>54.837120000000006</v>
      </c>
      <c r="EL24" s="14">
        <f t="shared" si="45"/>
        <v>15.856174437579886</v>
      </c>
      <c r="EM24" s="22">
        <f t="shared" si="19"/>
        <v>123.12415447878497</v>
      </c>
      <c r="EN24" s="62">
        <f t="shared" si="20"/>
        <v>405.4574878121183</v>
      </c>
      <c r="EO24" s="62">
        <f ca="1">AVERAGE(OFFSET($EN$3,0,0,'Données projet'!$E$15+1,1))-AVERAGE(OFFSET($H$3,0,0,'Données projet'!$E$15+1,1))</f>
        <v>256.19915261735281</v>
      </c>
      <c r="EP24" s="62">
        <f t="shared" si="46"/>
        <v>297.47246687305056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10.166666666666666</v>
      </c>
      <c r="N25" s="14">
        <f>IF('Données projet'!$A$36&gt;35,N24+M25-V24,IF(A25&lt;'Données projet'!$A$36,$K$205^A25,IF(A25='Données projet'!$A$36,'Données projet'!$B$36,N24+M25-V24)))</f>
        <v>26.166666666666664</v>
      </c>
      <c r="O25" s="14">
        <f>N25*VLOOKUP('Données projet'!$B$9,Paramètres!$A$1:$I$89,3,0)*VLOOKUP('Données projet'!$B$9,Paramètres!$A$1:$I$89,5,0)</f>
        <v>22.451000000000001</v>
      </c>
      <c r="P25" s="14">
        <f t="shared" si="33"/>
        <v>7.2028425332472539</v>
      </c>
      <c r="Q25" s="22">
        <f t="shared" si="2"/>
        <v>51.647109078738964</v>
      </c>
      <c r="R25" s="62">
        <f t="shared" si="0"/>
        <v>335.20266463429448</v>
      </c>
      <c r="S25" s="62">
        <f ca="1">AVERAGE(OFFSET($R$3,0,0,'Données projet'!$E$9+1,1))-AVERAGE(OFFSET($H$3,0,0,'Données projet'!$E$9+1,1))</f>
        <v>446.27304516866047</v>
      </c>
      <c r="T25" s="62">
        <f t="shared" si="34"/>
        <v>230.82970731138215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16.8</v>
      </c>
      <c r="AI25" s="14">
        <f>IF('Données projet'!$A$62&gt;35,AI24+AH25-AQ24,IF(A25&lt;'Données projet'!$A$62,$AF$205^A25,IF(A25='Données projet'!$A$62,'Données projet'!$B$62,AI24+AH25-AQ24)))</f>
        <v>114.60000000000001</v>
      </c>
      <c r="AJ25" s="14">
        <f>AI25*VLOOKUP('Données projet'!$B$10,Paramètres!$A$1:$I$89,3,0)*VLOOKUP('Données projet'!$B$10,Paramètres!$A$1:$I$89,5,0)</f>
        <v>91.175760000000011</v>
      </c>
      <c r="AK25" s="14">
        <f t="shared" si="35"/>
        <v>24.848575433138123</v>
      </c>
      <c r="AL25" s="22">
        <f t="shared" si="4"/>
        <v>202.07571754604893</v>
      </c>
      <c r="AM25" s="62">
        <f t="shared" si="5"/>
        <v>485.63127310160451</v>
      </c>
      <c r="AN25" s="62">
        <f ca="1">AVERAGE(OFFSET($AM$3,0,0,'Données projet'!$E$10+1,1))-AVERAGE(OFFSET($H$3,0,0,'Données projet'!$E$10+1,1))</f>
        <v>427.78067187784063</v>
      </c>
      <c r="AO25" s="62">
        <f t="shared" si="36"/>
        <v>464.22892523825118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11.2</v>
      </c>
      <c r="BD25" s="13">
        <f>IF('Données projet'!$A$88&gt;35,BD24+BC25-BL24,IF(A25&lt;'Données projet'!$A$88,$BA$205^A25,IF(A25='Données projet'!$A$88,'Données projet'!$B$88,BD24+BC25-BL24)))</f>
        <v>79.400000000000006</v>
      </c>
      <c r="BE25" s="14">
        <f>BD25*VLOOKUP('Données projet'!$B$11,Paramètres!$A$1:$I$89,3,0)*VLOOKUP('Données projet'!$B$11,Paramètres!$A$1:$I$89,5,0)</f>
        <v>61.932000000000009</v>
      </c>
      <c r="BF25" s="14">
        <f t="shared" si="37"/>
        <v>17.655834602153547</v>
      </c>
      <c r="BG25" s="22">
        <f t="shared" si="7"/>
        <v>138.61547859875077</v>
      </c>
      <c r="BH25" s="62">
        <f t="shared" si="8"/>
        <v>422.17103415430631</v>
      </c>
      <c r="BI25" s="62">
        <f ca="1">AVERAGE(OFFSET($BH$3,0,0,'Données projet'!$E$11+1,1))-AVERAGE(OFFSET($H$3,0,0,'Données projet'!$E$11+1,1))</f>
        <v>312.09994042858187</v>
      </c>
      <c r="BJ25" s="62">
        <f t="shared" si="38"/>
        <v>283.48738729114024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14.8</v>
      </c>
      <c r="BY25" s="13">
        <f>IF('Données projet'!$A$114&gt;35,BY24+BX25-CG24,IF(A25&lt;'Données projet'!$A$114,$BV$205^A25,IF(A25='Données projet'!$A$114,'Données projet'!$B$114,BY24+BX25-CG24)))</f>
        <v>96.600000000000009</v>
      </c>
      <c r="BZ25" s="14">
        <f>BY25*VLOOKUP('Données projet'!$B$12,Paramètres!$A$1:$I$89,3,0)*VLOOKUP('Données projet'!$B$12,Paramètres!$A$1:$I$89,5,0)</f>
        <v>76.854960000000005</v>
      </c>
      <c r="CA25" s="14">
        <f t="shared" si="39"/>
        <v>21.366419773799993</v>
      </c>
      <c r="CB25" s="22">
        <f t="shared" si="10"/>
        <v>171.06890310603498</v>
      </c>
      <c r="CC25" s="62">
        <f t="shared" si="11"/>
        <v>454.62445866159055</v>
      </c>
      <c r="CD25" s="62">
        <f ca="1">AVERAGE(OFFSET($CC$3,0,0,'Données projet'!$E$12+1,1))-AVERAGE(OFFSET($H$3,0,0,'Données projet'!$E$12+1,1))</f>
        <v>370.79299728190904</v>
      </c>
      <c r="CE25" s="62">
        <f t="shared" si="40"/>
        <v>404.95703400805775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6.1538461538461515</v>
      </c>
      <c r="CT25" s="13">
        <f>IF('Données projet'!$A$140&gt;35,CT24+CS25-DB24,IF(A25&lt;'Données projet'!$A$140,$CQ$205^A25,IF(A25='Données projet'!$A$140,'Données projet'!$B$140,CT24+CS25-DB24)))</f>
        <v>60.38461538461538</v>
      </c>
      <c r="CU25" s="18">
        <f>CT25*VLOOKUP('Données projet'!$B$13,Paramètres!$A$1:$I$89,3,0)*VLOOKUP('Données projet'!$B$13,Paramètres!$A$1:$I$89,5,0)</f>
        <v>57.461999999999996</v>
      </c>
      <c r="CV25" s="14">
        <f t="shared" si="41"/>
        <v>16.524977802855684</v>
      </c>
      <c r="CW25" s="22">
        <f t="shared" si="13"/>
        <v>128.86065300664029</v>
      </c>
      <c r="CX25" s="62">
        <f t="shared" si="14"/>
        <v>412.41620856219583</v>
      </c>
      <c r="CY25" s="62">
        <f ca="1">AVERAGE(OFFSET($CX$3,0,0,'Données projet'!$E$13+1,1))-AVERAGE(OFFSET($H$3,0,0,'Données projet'!$E$13+1,1))</f>
        <v>351.34897243264044</v>
      </c>
      <c r="CZ25" s="62">
        <f t="shared" si="42"/>
        <v>268.39685058071603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7.8205128205128203</v>
      </c>
      <c r="DO25" s="13">
        <f>IF('Données projet'!$A$166&gt;35,DO24+DN25-DW24,IF(A25&lt;'Données projet'!$A$166,$DL$205^A25,IF(A25='Données projet'!$A$166,'Données projet'!$B$166,DO24+DN25-DW24)))</f>
        <v>72.692307692307679</v>
      </c>
      <c r="DP25" s="18">
        <f>DO25*VLOOKUP('Données projet'!$B$14,Paramètres!$A$1:$I$89,3,0)*VLOOKUP('Données projet'!$B$14,Paramètres!$A$1:$I$89,5,0)</f>
        <v>48.761999999999993</v>
      </c>
      <c r="DQ25" s="14">
        <f t="shared" si="43"/>
        <v>14.293575738035427</v>
      </c>
      <c r="DR25" s="22">
        <f t="shared" si="16"/>
        <v>109.82179441041167</v>
      </c>
      <c r="DS25" s="62">
        <f t="shared" si="17"/>
        <v>393.3773499659672</v>
      </c>
      <c r="DT25" s="62">
        <f ca="1">AVERAGE(OFFSET($DS$3,0,0,'Données projet'!$E$14+1,1))-AVERAGE(OFFSET($H$3,0,0,'Données projet'!$E$14+1,1))</f>
        <v>290.46086333591074</v>
      </c>
      <c r="DU25" s="62">
        <f t="shared" si="44"/>
        <v>236.8495901994267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8.6</v>
      </c>
      <c r="EJ25" s="13">
        <f>IF('Données projet'!$A$192&gt;35,EJ24+EI25-ER24,IF(A25&lt;'Données projet'!$A$192,$EG$205^A25,IF(A25='Données projet'!$A$192,'Données projet'!$B$192,EJ24+EI25-ER24)))</f>
        <v>76.199999999999989</v>
      </c>
      <c r="EK25" s="18">
        <f>EJ25*VLOOKUP('Données projet'!$B$15,Paramètres!$A$1:$I$89,3,0)*VLOOKUP('Données projet'!$B$15,Paramètres!$A$1:$I$89,5,0)</f>
        <v>61.813439999999993</v>
      </c>
      <c r="EL25" s="14">
        <f t="shared" si="45"/>
        <v>17.625965961121132</v>
      </c>
      <c r="EM25" s="22">
        <f t="shared" si="19"/>
        <v>138.35696538228595</v>
      </c>
      <c r="EN25" s="62">
        <f t="shared" si="20"/>
        <v>421.91252093784146</v>
      </c>
      <c r="EO25" s="62">
        <f ca="1">AVERAGE(OFFSET($EN$3,0,0,'Données projet'!$E$15+1,1))-AVERAGE(OFFSET($H$3,0,0,'Données projet'!$E$15+1,1))</f>
        <v>256.19915261735281</v>
      </c>
      <c r="EP25" s="62">
        <f t="shared" si="46"/>
        <v>297.47246687305056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10.166666666666666</v>
      </c>
      <c r="N26" s="14">
        <f>IF('Données projet'!$A$36&gt;35,N25+M26-V25,IF(A26&lt;'Données projet'!$A$36,$K$205^A26,IF(A26='Données projet'!$A$36,'Données projet'!$B$36,N25+M26-V25)))</f>
        <v>36.333333333333329</v>
      </c>
      <c r="O26" s="14">
        <f>N26*VLOOKUP('Données projet'!$B$9,Paramètres!$A$1:$I$89,3,0)*VLOOKUP('Données projet'!$B$9,Paramètres!$A$1:$I$89,5,0)</f>
        <v>31.173999999999996</v>
      </c>
      <c r="P26" s="14">
        <f t="shared" si="33"/>
        <v>9.6264718529466755</v>
      </c>
      <c r="Q26" s="22">
        <f t="shared" si="2"/>
        <v>71.060821810548774</v>
      </c>
      <c r="R26" s="62">
        <f t="shared" si="0"/>
        <v>355.83859958832653</v>
      </c>
      <c r="S26" s="62">
        <f ca="1">AVERAGE(OFFSET($R$3,0,0,'Données projet'!$E$9+1,1))-AVERAGE(OFFSET($H$3,0,0,'Données projet'!$E$9+1,1))</f>
        <v>446.27304516866047</v>
      </c>
      <c r="T26" s="62">
        <f t="shared" si="34"/>
        <v>230.82970731138215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16.8</v>
      </c>
      <c r="AI26" s="14">
        <f>IF('Données projet'!$A$62&gt;35,AI25+AH26-AQ25,IF(A26&lt;'Données projet'!$A$62,$AF$205^A26,IF(A26='Données projet'!$A$62,'Données projet'!$B$62,AI25+AH26-AQ25)))</f>
        <v>131.4</v>
      </c>
      <c r="AJ26" s="14">
        <f>AI26*VLOOKUP('Données projet'!$B$10,Paramètres!$A$1:$I$89,3,0)*VLOOKUP('Données projet'!$B$10,Paramètres!$A$1:$I$89,5,0)</f>
        <v>104.54184000000002</v>
      </c>
      <c r="AK26" s="14">
        <f t="shared" si="35"/>
        <v>28.041215323191079</v>
      </c>
      <c r="AL26" s="22">
        <f t="shared" si="4"/>
        <v>230.91548802122449</v>
      </c>
      <c r="AM26" s="62">
        <f t="shared" si="5"/>
        <v>515.69326579900223</v>
      </c>
      <c r="AN26" s="62">
        <f ca="1">AVERAGE(OFFSET($AM$3,0,0,'Données projet'!$E$10+1,1))-AVERAGE(OFFSET($H$3,0,0,'Données projet'!$E$10+1,1))</f>
        <v>427.78067187784063</v>
      </c>
      <c r="AO26" s="62">
        <f t="shared" si="36"/>
        <v>464.22892523825118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11.2</v>
      </c>
      <c r="BD26" s="13">
        <f>IF('Données projet'!$A$88&gt;35,BD25+BC26-BL25,IF(A26&lt;'Données projet'!$A$88,$BA$205^A26,IF(A26='Données projet'!$A$88,'Données projet'!$B$88,BD25+BC26-BL25)))</f>
        <v>90.600000000000009</v>
      </c>
      <c r="BE26" s="14">
        <f>BD26*VLOOKUP('Données projet'!$B$11,Paramètres!$A$1:$I$89,3,0)*VLOOKUP('Données projet'!$B$11,Paramètres!$A$1:$I$89,5,0)</f>
        <v>70.668000000000006</v>
      </c>
      <c r="BF26" s="14">
        <f t="shared" si="37"/>
        <v>19.839253706984856</v>
      </c>
      <c r="BG26" s="22">
        <f t="shared" si="7"/>
        <v>157.63346687299864</v>
      </c>
      <c r="BH26" s="62">
        <f t="shared" si="8"/>
        <v>442.41124465077644</v>
      </c>
      <c r="BI26" s="62">
        <f ca="1">AVERAGE(OFFSET($BH$3,0,0,'Données projet'!$E$11+1,1))-AVERAGE(OFFSET($H$3,0,0,'Données projet'!$E$11+1,1))</f>
        <v>312.09994042858187</v>
      </c>
      <c r="BJ26" s="62">
        <f t="shared" si="38"/>
        <v>283.48738729114024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14.8</v>
      </c>
      <c r="BY26" s="13">
        <f>IF('Données projet'!$A$114&gt;35,BY25+BX26-CG25,IF(A26&lt;'Données projet'!$A$114,$BV$205^A26,IF(A26='Données projet'!$A$114,'Données projet'!$B$114,BY25+BX26-CG25)))</f>
        <v>111.4</v>
      </c>
      <c r="BZ26" s="14">
        <f>BY26*VLOOKUP('Données projet'!$B$12,Paramètres!$A$1:$I$89,3,0)*VLOOKUP('Données projet'!$B$12,Paramètres!$A$1:$I$89,5,0)</f>
        <v>88.629840000000016</v>
      </c>
      <c r="CA26" s="14">
        <f t="shared" si="39"/>
        <v>24.234480932534542</v>
      </c>
      <c r="CB26" s="22">
        <f t="shared" si="10"/>
        <v>196.57202562416433</v>
      </c>
      <c r="CC26" s="62">
        <f t="shared" si="11"/>
        <v>481.3498034019421</v>
      </c>
      <c r="CD26" s="62">
        <f ca="1">AVERAGE(OFFSET($CC$3,0,0,'Données projet'!$E$12+1,1))-AVERAGE(OFFSET($H$3,0,0,'Données projet'!$E$12+1,1))</f>
        <v>370.79299728190904</v>
      </c>
      <c r="CE26" s="62">
        <f t="shared" si="40"/>
        <v>404.95703400805775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6.1538461538461515</v>
      </c>
      <c r="CT26" s="13">
        <f>IF('Données projet'!$A$140&gt;35,CT25+CS26-DB25,IF(A26&lt;'Données projet'!$A$140,$CQ$205^A26,IF(A26='Données projet'!$A$140,'Données projet'!$B$140,CT25+CS26-DB25)))</f>
        <v>66.538461538461533</v>
      </c>
      <c r="CU26" s="18">
        <f>CT26*VLOOKUP('Données projet'!$B$13,Paramètres!$A$1:$I$89,3,0)*VLOOKUP('Données projet'!$B$13,Paramètres!$A$1:$I$89,5,0)</f>
        <v>63.317999999999998</v>
      </c>
      <c r="CV26" s="14">
        <f t="shared" si="41"/>
        <v>18.00451755676719</v>
      </c>
      <c r="CW26" s="22">
        <f t="shared" si="13"/>
        <v>141.63671807803618</v>
      </c>
      <c r="CX26" s="62">
        <f t="shared" si="14"/>
        <v>426.41449585581393</v>
      </c>
      <c r="CY26" s="62">
        <f ca="1">AVERAGE(OFFSET($CX$3,0,0,'Données projet'!$E$13+1,1))-AVERAGE(OFFSET($H$3,0,0,'Données projet'!$E$13+1,1))</f>
        <v>351.34897243264044</v>
      </c>
      <c r="CZ26" s="62">
        <f t="shared" si="42"/>
        <v>268.39685058071603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7.8205128205128203</v>
      </c>
      <c r="DO26" s="13">
        <f>IF('Données projet'!$A$166&gt;35,DO25+DN26-DW25,IF(A26&lt;'Données projet'!$A$166,$DL$205^A26,IF(A26='Données projet'!$A$166,'Données projet'!$B$166,DO25+DN26-DW25)))</f>
        <v>80.512820512820497</v>
      </c>
      <c r="DP26" s="18">
        <f>DO26*VLOOKUP('Données projet'!$B$14,Paramètres!$A$1:$I$89,3,0)*VLOOKUP('Données projet'!$B$14,Paramètres!$A$1:$I$89,5,0)</f>
        <v>54.007999999999996</v>
      </c>
      <c r="DQ26" s="14">
        <f t="shared" si="43"/>
        <v>15.644152383611804</v>
      </c>
      <c r="DR26" s="22">
        <f t="shared" si="16"/>
        <v>121.31083206812384</v>
      </c>
      <c r="DS26" s="62">
        <f t="shared" si="17"/>
        <v>406.0886098459016</v>
      </c>
      <c r="DT26" s="62">
        <f ca="1">AVERAGE(OFFSET($DS$3,0,0,'Données projet'!$E$14+1,1))-AVERAGE(OFFSET($H$3,0,0,'Données projet'!$E$14+1,1))</f>
        <v>290.46086333591074</v>
      </c>
      <c r="DU26" s="62">
        <f t="shared" si="44"/>
        <v>236.8495901994267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8.6</v>
      </c>
      <c r="EJ26" s="13">
        <f>IF('Données projet'!$A$192&gt;35,EJ25+EI26-ER25,IF(A26&lt;'Données projet'!$A$192,$EG$205^A26,IF(A26='Données projet'!$A$192,'Données projet'!$B$192,EJ25+EI26-ER25)))</f>
        <v>84.799999999999983</v>
      </c>
      <c r="EK26" s="18">
        <f>EJ26*VLOOKUP('Données projet'!$B$15,Paramètres!$A$1:$I$89,3,0)*VLOOKUP('Données projet'!$B$15,Paramètres!$A$1:$I$89,5,0)</f>
        <v>68.789759999999987</v>
      </c>
      <c r="EL26" s="14">
        <f t="shared" si="45"/>
        <v>19.372607944380292</v>
      </c>
      <c r="EM26" s="22">
        <f t="shared" si="19"/>
        <v>153.54945750312899</v>
      </c>
      <c r="EN26" s="62">
        <f t="shared" si="20"/>
        <v>438.32723528090673</v>
      </c>
      <c r="EO26" s="62">
        <f ca="1">AVERAGE(OFFSET($EN$3,0,0,'Données projet'!$E$15+1,1))-AVERAGE(OFFSET($H$3,0,0,'Données projet'!$E$15+1,1))</f>
        <v>256.19915261735281</v>
      </c>
      <c r="EP26" s="62">
        <f t="shared" si="46"/>
        <v>297.47246687305056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10.166666666666666</v>
      </c>
      <c r="N27" s="14">
        <f>IF('Données projet'!$A$36&gt;35,N26+M27-V26,IF(A27&lt;'Données projet'!$A$36,$K$205^A27,IF(A27='Données projet'!$A$36,'Données projet'!$B$36,N26+M27-V26)))</f>
        <v>46.499999999999993</v>
      </c>
      <c r="O27" s="14">
        <f>N27*VLOOKUP('Données projet'!$B$9,Paramètres!$A$1:$I$89,3,0)*VLOOKUP('Données projet'!$B$9,Paramètres!$A$1:$I$89,5,0)</f>
        <v>39.896999999999998</v>
      </c>
      <c r="P27" s="14">
        <f t="shared" si="33"/>
        <v>11.971342650084589</v>
      </c>
      <c r="Q27" s="22">
        <f t="shared" si="2"/>
        <v>90.337363448897307</v>
      </c>
      <c r="R27" s="62">
        <f t="shared" si="0"/>
        <v>376.33736344889729</v>
      </c>
      <c r="S27" s="62">
        <f ca="1">AVERAGE(OFFSET($R$3,0,0,'Données projet'!$E$9+1,1))-AVERAGE(OFFSET($H$3,0,0,'Données projet'!$E$9+1,1))</f>
        <v>446.27304516866047</v>
      </c>
      <c r="T27" s="62">
        <f t="shared" si="34"/>
        <v>230.82970731138215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16.8</v>
      </c>
      <c r="AI27" s="14">
        <f>IF('Données projet'!$A$62&gt;35,AI26+AH27-AQ26,IF(A27&lt;'Données projet'!$A$62,$AF$205^A27,IF(A27='Données projet'!$A$62,'Données projet'!$B$62,AI26+AH27-AQ26)))</f>
        <v>148.20000000000002</v>
      </c>
      <c r="AJ27" s="14">
        <f>AI27*VLOOKUP('Données projet'!$B$10,Paramètres!$A$1:$I$89,3,0)*VLOOKUP('Données projet'!$B$10,Paramètres!$A$1:$I$89,5,0)</f>
        <v>117.90792000000002</v>
      </c>
      <c r="AK27" s="14">
        <f t="shared" si="35"/>
        <v>31.186557651984323</v>
      </c>
      <c r="AL27" s="22">
        <f t="shared" si="4"/>
        <v>259.67288191053939</v>
      </c>
      <c r="AM27" s="62">
        <f t="shared" si="5"/>
        <v>545.67288191053945</v>
      </c>
      <c r="AN27" s="62">
        <f ca="1">AVERAGE(OFFSET($AM$3,0,0,'Données projet'!$E$10+1,1))-AVERAGE(OFFSET($H$3,0,0,'Données projet'!$E$10+1,1))</f>
        <v>427.78067187784063</v>
      </c>
      <c r="AO27" s="62">
        <f t="shared" si="36"/>
        <v>464.22892523825118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11.2</v>
      </c>
      <c r="BD27" s="13">
        <f>IF('Données projet'!$A$88&gt;35,BD26+BC27-BL26,IF(A27&lt;'Données projet'!$A$88,$BA$205^A27,IF(A27='Données projet'!$A$88,'Données projet'!$B$88,BD26+BC27-BL26)))</f>
        <v>101.80000000000001</v>
      </c>
      <c r="BE27" s="14">
        <f>BD27*VLOOKUP('Données projet'!$B$11,Paramètres!$A$1:$I$89,3,0)*VLOOKUP('Données projet'!$B$11,Paramètres!$A$1:$I$89,5,0)</f>
        <v>79.404000000000011</v>
      </c>
      <c r="BF27" s="14">
        <f t="shared" si="37"/>
        <v>21.99139566942284</v>
      </c>
      <c r="BG27" s="22">
        <f t="shared" si="7"/>
        <v>176.59698079091149</v>
      </c>
      <c r="BH27" s="62">
        <f t="shared" si="8"/>
        <v>462.59698079091152</v>
      </c>
      <c r="BI27" s="62">
        <f ca="1">AVERAGE(OFFSET($BH$3,0,0,'Données projet'!$E$11+1,1))-AVERAGE(OFFSET($H$3,0,0,'Données projet'!$E$11+1,1))</f>
        <v>312.09994042858187</v>
      </c>
      <c r="BJ27" s="62">
        <f t="shared" si="38"/>
        <v>283.48738729114024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14.8</v>
      </c>
      <c r="BY27" s="13">
        <f>IF('Données projet'!$A$114&gt;35,BY26+BX27-CG26,IF(A27&lt;'Données projet'!$A$114,$BV$205^A27,IF(A27='Données projet'!$A$114,'Données projet'!$B$114,BY26+BX27-CG26)))</f>
        <v>126.2</v>
      </c>
      <c r="BZ27" s="14">
        <f>BY27*VLOOKUP('Données projet'!$B$12,Paramètres!$A$1:$I$89,3,0)*VLOOKUP('Données projet'!$B$12,Paramètres!$A$1:$I$89,5,0)</f>
        <v>100.40472000000001</v>
      </c>
      <c r="CA27" s="14">
        <f t="shared" si="39"/>
        <v>27.058393830330502</v>
      </c>
      <c r="CB27" s="22">
        <f t="shared" si="10"/>
        <v>221.99825658782564</v>
      </c>
      <c r="CC27" s="62">
        <f t="shared" si="11"/>
        <v>507.99825658782561</v>
      </c>
      <c r="CD27" s="62">
        <f ca="1">AVERAGE(OFFSET($CC$3,0,0,'Données projet'!$E$12+1,1))-AVERAGE(OFFSET($H$3,0,0,'Données projet'!$E$12+1,1))</f>
        <v>370.79299728190904</v>
      </c>
      <c r="CE27" s="62">
        <f t="shared" si="40"/>
        <v>404.95703400805775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6.1538461538461515</v>
      </c>
      <c r="CT27" s="13">
        <f>IF('Données projet'!$A$140&gt;35,CT26+CS27-DB26,IF(A27&lt;'Données projet'!$A$140,$CQ$205^A27,IF(A27='Données projet'!$A$140,'Données projet'!$B$140,CT26+CS27-DB26)))</f>
        <v>72.692307692307679</v>
      </c>
      <c r="CU27" s="18">
        <f>CT27*VLOOKUP('Données projet'!$B$13,Paramètres!$A$1:$I$89,3,0)*VLOOKUP('Données projet'!$B$13,Paramètres!$A$1:$I$89,5,0)</f>
        <v>69.173999999999992</v>
      </c>
      <c r="CV27" s="14">
        <f t="shared" si="41"/>
        <v>19.468191165413415</v>
      </c>
      <c r="CW27" s="22">
        <f t="shared" si="13"/>
        <v>154.38514961309502</v>
      </c>
      <c r="CX27" s="62">
        <f t="shared" si="14"/>
        <v>440.385149613095</v>
      </c>
      <c r="CY27" s="62">
        <f ca="1">AVERAGE(OFFSET($CX$3,0,0,'Données projet'!$E$13+1,1))-AVERAGE(OFFSET($H$3,0,0,'Données projet'!$E$13+1,1))</f>
        <v>351.34897243264044</v>
      </c>
      <c r="CZ27" s="62">
        <f t="shared" si="42"/>
        <v>268.39685058071603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7.8205128205128203</v>
      </c>
      <c r="DO27" s="13">
        <f>IF('Données projet'!$A$166&gt;35,DO26+DN27-DW26,IF(A27&lt;'Données projet'!$A$166,$DL$205^A27,IF(A27='Données projet'!$A$166,'Données projet'!$B$166,DO26+DN27-DW26)))</f>
        <v>88.333333333333314</v>
      </c>
      <c r="DP27" s="18">
        <f>DO27*VLOOKUP('Données projet'!$B$14,Paramètres!$A$1:$I$89,3,0)*VLOOKUP('Données projet'!$B$14,Paramètres!$A$1:$I$89,5,0)</f>
        <v>59.253999999999991</v>
      </c>
      <c r="DQ27" s="14">
        <f t="shared" si="43"/>
        <v>16.979519687513168</v>
      </c>
      <c r="DR27" s="22">
        <f t="shared" si="16"/>
        <v>132.77338012241873</v>
      </c>
      <c r="DS27" s="62">
        <f t="shared" si="17"/>
        <v>418.77338012241876</v>
      </c>
      <c r="DT27" s="62">
        <f ca="1">AVERAGE(OFFSET($DS$3,0,0,'Données projet'!$E$14+1,1))-AVERAGE(OFFSET($H$3,0,0,'Données projet'!$E$14+1,1))</f>
        <v>290.46086333591074</v>
      </c>
      <c r="DU27" s="62">
        <f t="shared" si="44"/>
        <v>236.8495901994267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8.6</v>
      </c>
      <c r="EJ27" s="13">
        <f>IF('Données projet'!$A$192&gt;35,EJ26+EI27-ER26,IF(A27&lt;'Données projet'!$A$192,$EG$205^A27,IF(A27='Données projet'!$A$192,'Données projet'!$B$192,EJ26+EI27-ER26)))</f>
        <v>93.399999999999977</v>
      </c>
      <c r="EK27" s="18">
        <f>EJ27*VLOOKUP('Données projet'!$B$15,Paramètres!$A$1:$I$89,3,0)*VLOOKUP('Données projet'!$B$15,Paramètres!$A$1:$I$89,5,0)</f>
        <v>75.766079999999988</v>
      </c>
      <c r="EL27" s="14">
        <f t="shared" si="45"/>
        <v>21.09871541273251</v>
      </c>
      <c r="EM27" s="22">
        <f t="shared" si="19"/>
        <v>168.70618534384241</v>
      </c>
      <c r="EN27" s="62">
        <f t="shared" si="20"/>
        <v>454.70618534384244</v>
      </c>
      <c r="EO27" s="62">
        <f ca="1">AVERAGE(OFFSET($EN$3,0,0,'Données projet'!$E$15+1,1))-AVERAGE(OFFSET($H$3,0,0,'Données projet'!$E$15+1,1))</f>
        <v>256.19915261735281</v>
      </c>
      <c r="EP27" s="62">
        <f t="shared" si="46"/>
        <v>297.47246687305056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10.166666666666666</v>
      </c>
      <c r="N28" s="14">
        <f>IF('Données projet'!$A$36&gt;35,N27+M28-V27,IF(A28&lt;'Données projet'!$A$36,$K$205^A28,IF(A28='Données projet'!$A$36,'Données projet'!$B$36,N27+M28-V27)))</f>
        <v>56.666666666666657</v>
      </c>
      <c r="O28" s="14">
        <f>N28*VLOOKUP('Données projet'!$B$9,Paramètres!$A$1:$I$89,3,0)*VLOOKUP('Données projet'!$B$9,Paramètres!$A$1:$I$89,5,0)</f>
        <v>48.62</v>
      </c>
      <c r="P28" s="14">
        <f t="shared" si="33"/>
        <v>14.256790200344732</v>
      </c>
      <c r="Q28" s="22">
        <f t="shared" si="2"/>
        <v>109.51040959893373</v>
      </c>
      <c r="R28" s="62">
        <f t="shared" si="0"/>
        <v>396.73263182115596</v>
      </c>
      <c r="S28" s="62">
        <f ca="1">AVERAGE(OFFSET($R$3,0,0,'Données projet'!$E$9+1,1))-AVERAGE(OFFSET($H$3,0,0,'Données projet'!$E$9+1,1))</f>
        <v>446.27304516866047</v>
      </c>
      <c r="T28" s="62">
        <f t="shared" si="34"/>
        <v>230.82970731138215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165</v>
      </c>
      <c r="AG28" s="13">
        <f>VLOOKUP(A28,'Données projet'!$A$61:$I$81,9,0)</f>
        <v>16.8</v>
      </c>
      <c r="AH28" s="13">
        <f t="array" ref="AH28">INDEX(AG:AG,MIN(IF(ISNUMBER(AG28:AG224),ROW(AG28:AG224),"")))</f>
        <v>16.8</v>
      </c>
      <c r="AI28" s="14">
        <f>IF('Données projet'!$A$62&gt;35,AI27+AH28-AQ27,IF(A28&lt;'Données projet'!$A$62,$AF$205^A28,IF(A28='Données projet'!$A$62,'Données projet'!$B$62,AI27+AH28-AQ27)))</f>
        <v>165.00000000000003</v>
      </c>
      <c r="AJ28" s="14">
        <f>AI28*VLOOKUP('Données projet'!$B$10,Paramètres!$A$1:$I$89,3,0)*VLOOKUP('Données projet'!$B$10,Paramètres!$A$1:$I$89,5,0)</f>
        <v>131.27400000000003</v>
      </c>
      <c r="AK28" s="14">
        <f t="shared" si="35"/>
        <v>34.290576031111669</v>
      </c>
      <c r="AL28" s="22">
        <f t="shared" si="4"/>
        <v>288.35830325418618</v>
      </c>
      <c r="AM28" s="62">
        <f t="shared" si="5"/>
        <v>575.58052547640841</v>
      </c>
      <c r="AN28" s="62">
        <f ca="1">AVERAGE(OFFSET($AM$3,0,0,'Données projet'!$E$10+1,1))-AVERAGE(OFFSET($H$3,0,0,'Données projet'!$E$10+1,1))</f>
        <v>427.78067187784063</v>
      </c>
      <c r="AO28" s="62">
        <f t="shared" si="36"/>
        <v>464.22892523825118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113</v>
      </c>
      <c r="BB28" s="13">
        <f>VLOOKUP(A28,'Données projet'!$A$87:$I$107,9,0)</f>
        <v>11.2</v>
      </c>
      <c r="BC28" s="13">
        <f t="array" ref="BC28">INDEX(BB:BB,MIN(IF(ISNUMBER(BB28:BB224),ROW(BB28:BB224),"")))</f>
        <v>11.2</v>
      </c>
      <c r="BD28" s="13">
        <f>IF('Données projet'!$A$88&gt;35,BD27+BC28-BL27,IF(A28&lt;'Données projet'!$A$88,$BA$205^A28,IF(A28='Données projet'!$A$88,'Données projet'!$B$88,BD27+BC28-BL27)))</f>
        <v>113.00000000000001</v>
      </c>
      <c r="BE28" s="14">
        <f>BD28*VLOOKUP('Données projet'!$B$11,Paramètres!$A$1:$I$89,3,0)*VLOOKUP('Données projet'!$B$11,Paramètres!$A$1:$I$89,5,0)</f>
        <v>88.140000000000015</v>
      </c>
      <c r="BF28" s="14">
        <f t="shared" si="37"/>
        <v>24.116094026318823</v>
      </c>
      <c r="BG28" s="22">
        <f t="shared" si="7"/>
        <v>195.5126970958386</v>
      </c>
      <c r="BH28" s="62">
        <f t="shared" si="8"/>
        <v>482.73491931806086</v>
      </c>
      <c r="BI28" s="62">
        <f ca="1">AVERAGE(OFFSET($BH$3,0,0,'Données projet'!$E$11+1,1))-AVERAGE(OFFSET($H$3,0,0,'Données projet'!$E$11+1,1))</f>
        <v>312.09994042858187</v>
      </c>
      <c r="BJ28" s="62">
        <f t="shared" si="38"/>
        <v>283.48738729114024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27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141</v>
      </c>
      <c r="BW28" s="13">
        <f>VLOOKUP(A28,'Données projet'!$A$113:$I$133,9,0)</f>
        <v>14.8</v>
      </c>
      <c r="BX28" s="13">
        <f t="array" ref="BX28">INDEX(BW:BW,MIN(IF(ISNUMBER(BW28:BW224),ROW(BW28:BW224),"")))</f>
        <v>14.8</v>
      </c>
      <c r="BY28" s="13">
        <f>IF('Données projet'!$A$114&gt;35,BY27+BX28-CG27,IF(A28&lt;'Données projet'!$A$114,$BV$205^A28,IF(A28='Données projet'!$A$114,'Données projet'!$B$114,BY27+BX28-CG27)))</f>
        <v>141</v>
      </c>
      <c r="BZ28" s="14">
        <f>BY28*VLOOKUP('Données projet'!$B$12,Paramètres!$A$1:$I$89,3,0)*VLOOKUP('Données projet'!$B$12,Paramètres!$A$1:$I$89,5,0)</f>
        <v>112.17959999999999</v>
      </c>
      <c r="CA28" s="14">
        <f t="shared" si="39"/>
        <v>29.8439274472838</v>
      </c>
      <c r="CB28" s="22">
        <f t="shared" si="10"/>
        <v>247.35764363735257</v>
      </c>
      <c r="CC28" s="62">
        <f t="shared" si="11"/>
        <v>534.57986585957474</v>
      </c>
      <c r="CD28" s="62">
        <f ca="1">AVERAGE(OFFSET($CC$3,0,0,'Données projet'!$E$12+1,1))-AVERAGE(OFFSET($H$3,0,0,'Données projet'!$E$12+1,1))</f>
        <v>370.79299728190904</v>
      </c>
      <c r="CE28" s="62">
        <f t="shared" si="40"/>
        <v>404.95703400805775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78.84615384615384</v>
      </c>
      <c r="CR28" s="13">
        <f>VLOOKUP(A28,'Données projet'!$A$139:$I$159,9,0)</f>
        <v>6.1538461538461515</v>
      </c>
      <c r="CS28" s="13">
        <f t="array" ref="CS28">INDEX(CR:CR,MIN(IF(ISNUMBER(CR28:CR224),ROW(CR28:CR224),"")))</f>
        <v>6.1538461538461515</v>
      </c>
      <c r="CT28" s="13">
        <f>IF('Données projet'!$A$140&gt;35,CT27+CS28-DB27,IF(A28&lt;'Données projet'!$A$140,$CQ$205^A28,IF(A28='Données projet'!$A$140,'Données projet'!$B$140,CT27+CS28-DB27)))</f>
        <v>78.846153846153825</v>
      </c>
      <c r="CU28" s="18">
        <f>CT28*VLOOKUP('Données projet'!$B$13,Paramètres!$A$1:$I$89,3,0)*VLOOKUP('Données projet'!$B$13,Paramètres!$A$1:$I$89,5,0)</f>
        <v>75.029999999999987</v>
      </c>
      <c r="CV28" s="14">
        <f t="shared" si="41"/>
        <v>20.917494504218595</v>
      </c>
      <c r="CW28" s="22">
        <f t="shared" si="13"/>
        <v>167.1085529281807</v>
      </c>
      <c r="CX28" s="62">
        <f t="shared" si="14"/>
        <v>454.33077515040293</v>
      </c>
      <c r="CY28" s="62">
        <f ca="1">AVERAGE(OFFSET($CX$3,0,0,'Données projet'!$E$13+1,1))-AVERAGE(OFFSET($H$3,0,0,'Données projet'!$E$13+1,1))</f>
        <v>351.34897243264044</v>
      </c>
      <c r="CZ28" s="62">
        <f t="shared" si="42"/>
        <v>268.39685058071603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96.153846153846146</v>
      </c>
      <c r="DM28" s="13">
        <f>VLOOKUP(A28,'Données projet'!$A$165:$I$185,9,0)</f>
        <v>7.8205128205128203</v>
      </c>
      <c r="DN28" s="13">
        <f t="array" ref="DN28">INDEX(DM:DM,MIN(IF(ISNUMBER(DM28:DM224),ROW(DM28:DM224),"")))</f>
        <v>7.8205128205128203</v>
      </c>
      <c r="DO28" s="13">
        <f>IF('Données projet'!$A$166&gt;35,DO27+DN28-DW27,IF(A28&lt;'Données projet'!$A$166,$DL$205^A28,IF(A28='Données projet'!$A$166,'Données projet'!$B$166,DO27+DN28-DW27)))</f>
        <v>96.153846153846132</v>
      </c>
      <c r="DP28" s="18">
        <f>DO28*VLOOKUP('Données projet'!$B$14,Paramètres!$A$1:$I$89,3,0)*VLOOKUP('Données projet'!$B$14,Paramètres!$A$1:$I$89,5,0)</f>
        <v>64.499999999999986</v>
      </c>
      <c r="DQ28" s="14">
        <f t="shared" si="43"/>
        <v>18.301177311709043</v>
      </c>
      <c r="DR28" s="22">
        <f t="shared" si="16"/>
        <v>144.21205048455988</v>
      </c>
      <c r="DS28" s="62">
        <f t="shared" si="17"/>
        <v>431.43427270678211</v>
      </c>
      <c r="DT28" s="62">
        <f ca="1">AVERAGE(OFFSET($DS$3,0,0,'Données projet'!$E$14+1,1))-AVERAGE(OFFSET($H$3,0,0,'Données projet'!$E$14+1,1))</f>
        <v>290.46086333591074</v>
      </c>
      <c r="DU28" s="62">
        <f t="shared" si="44"/>
        <v>236.8495901994267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102</v>
      </c>
      <c r="EH28" s="13">
        <f>VLOOKUP(A28,'Données projet'!$A$191:$I$211,9,0)</f>
        <v>8.6</v>
      </c>
      <c r="EI28" s="13">
        <f t="array" ref="EI28">INDEX(EH:EH,MIN(IF(ISNUMBER(EH28:EH224),ROW(EH28:EH224),"")))</f>
        <v>8.6</v>
      </c>
      <c r="EJ28" s="13">
        <f>IF('Données projet'!$A$192&gt;35,EJ27+EI28-ER27,IF(A28&lt;'Données projet'!$A$192,$EG$205^A28,IF(A28='Données projet'!$A$192,'Données projet'!$B$192,EJ27+EI28-ER27)))</f>
        <v>101.99999999999997</v>
      </c>
      <c r="EK28" s="18">
        <f>EJ28*VLOOKUP('Données projet'!$B$15,Paramètres!$A$1:$I$89,3,0)*VLOOKUP('Données projet'!$B$15,Paramètres!$A$1:$I$89,5,0)</f>
        <v>82.742399999999975</v>
      </c>
      <c r="EL28" s="14">
        <f t="shared" si="45"/>
        <v>22.806394174303183</v>
      </c>
      <c r="EM28" s="22">
        <f t="shared" si="19"/>
        <v>183.83081652024464</v>
      </c>
      <c r="EN28" s="62">
        <f t="shared" si="20"/>
        <v>471.05303874246687</v>
      </c>
      <c r="EO28" s="62">
        <f ca="1">AVERAGE(OFFSET($EN$3,0,0,'Données projet'!$E$15+1,1))-AVERAGE(OFFSET($H$3,0,0,'Données projet'!$E$15+1,1))</f>
        <v>256.19915261735281</v>
      </c>
      <c r="EP28" s="62">
        <f t="shared" si="46"/>
        <v>297.47246687305056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10.166666666666666</v>
      </c>
      <c r="N29" s="14">
        <f>IF('Données projet'!$A$36&gt;35,N28+M29-V28,IF(A29&lt;'Données projet'!$A$36,$K$205^A29,IF(A29='Données projet'!$A$36,'Données projet'!$B$36,N28+M29-V28)))</f>
        <v>66.833333333333329</v>
      </c>
      <c r="O29" s="14">
        <f>N29*VLOOKUP('Données projet'!$B$9,Paramètres!$A$1:$I$89,3,0)*VLOOKUP('Données projet'!$B$9,Paramètres!$A$1:$I$89,5,0)</f>
        <v>57.343000000000004</v>
      </c>
      <c r="P29" s="14">
        <f t="shared" si="33"/>
        <v>16.494735476368202</v>
      </c>
      <c r="Q29" s="22">
        <f t="shared" si="2"/>
        <v>128.6007226213413</v>
      </c>
      <c r="R29" s="62">
        <f t="shared" si="0"/>
        <v>417.04516706578579</v>
      </c>
      <c r="S29" s="62">
        <f ca="1">AVERAGE(OFFSET($R$3,0,0,'Données projet'!$E$9+1,1))-AVERAGE(OFFSET($H$3,0,0,'Données projet'!$E$9+1,1))</f>
        <v>446.27304516866047</v>
      </c>
      <c r="T29" s="62">
        <f t="shared" si="34"/>
        <v>230.82970731138215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16.399999999999999</v>
      </c>
      <c r="AI29" s="14">
        <f>IF('Données projet'!$A$62&gt;35,AI28+AH29-AQ28,IF(A29&lt;'Données projet'!$A$62,$AF$205^A29,IF(A29='Données projet'!$A$62,'Données projet'!$B$62,AI28+AH29-AQ28)))</f>
        <v>181.40000000000003</v>
      </c>
      <c r="AJ29" s="14">
        <f>AI29*VLOOKUP('Données projet'!$B$10,Paramètres!$A$1:$I$89,3,0)*VLOOKUP('Données projet'!$B$10,Paramètres!$A$1:$I$89,5,0)</f>
        <v>144.32184000000004</v>
      </c>
      <c r="AK29" s="14">
        <f t="shared" si="35"/>
        <v>37.285319642019559</v>
      </c>
      <c r="AL29" s="22">
        <f t="shared" si="4"/>
        <v>316.29913637651748</v>
      </c>
      <c r="AM29" s="62">
        <f t="shared" si="5"/>
        <v>604.74358082096194</v>
      </c>
      <c r="AN29" s="62">
        <f ca="1">AVERAGE(OFFSET($AM$3,0,0,'Données projet'!$E$10+1,1))-AVERAGE(OFFSET($H$3,0,0,'Données projet'!$E$10+1,1))</f>
        <v>427.78067187784063</v>
      </c>
      <c r="AO29" s="62">
        <f t="shared" si="36"/>
        <v>464.22892523825118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11.5</v>
      </c>
      <c r="BD29" s="13">
        <f>IF('Données projet'!$A$88&gt;35,BD28+BC29-BL28,IF(A29&lt;'Données projet'!$A$88,$BA$205^A29,IF(A29='Données projet'!$A$88,'Données projet'!$B$88,BD28+BC29-BL28)))</f>
        <v>97.500000000000014</v>
      </c>
      <c r="BE29" s="14">
        <f>BD29*VLOOKUP('Données projet'!$B$11,Paramètres!$A$1:$I$89,3,0)*VLOOKUP('Données projet'!$B$11,Paramètres!$A$1:$I$89,5,0)</f>
        <v>76.050000000000011</v>
      </c>
      <c r="BF29" s="14">
        <f t="shared" si="37"/>
        <v>21.16856089074928</v>
      </c>
      <c r="BG29" s="22">
        <f t="shared" si="7"/>
        <v>169.32232688472166</v>
      </c>
      <c r="BH29" s="62">
        <f t="shared" si="8"/>
        <v>457.76677132916609</v>
      </c>
      <c r="BI29" s="62">
        <f ca="1">AVERAGE(OFFSET($BH$3,0,0,'Données projet'!$E$11+1,1))-AVERAGE(OFFSET($H$3,0,0,'Données projet'!$E$11+1,1))</f>
        <v>312.09994042858187</v>
      </c>
      <c r="BJ29" s="62">
        <f t="shared" si="38"/>
        <v>283.48738729114024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14.2</v>
      </c>
      <c r="BY29" s="13">
        <f>IF('Données projet'!$A$114&gt;35,BY28+BX29-CG28,IF(A29&lt;'Données projet'!$A$114,$BV$205^A29,IF(A29='Données projet'!$A$114,'Données projet'!$B$114,BY28+BX29-CG28)))</f>
        <v>155.19999999999999</v>
      </c>
      <c r="BZ29" s="14">
        <f>BY29*VLOOKUP('Données projet'!$B$12,Paramètres!$A$1:$I$89,3,0)*VLOOKUP('Données projet'!$B$12,Paramètres!$A$1:$I$89,5,0)</f>
        <v>123.47712</v>
      </c>
      <c r="CA29" s="14">
        <f t="shared" si="39"/>
        <v>32.484627317240388</v>
      </c>
      <c r="CB29" s="22">
        <f t="shared" si="10"/>
        <v>271.63337657752703</v>
      </c>
      <c r="CC29" s="62">
        <f t="shared" si="11"/>
        <v>560.07782102197143</v>
      </c>
      <c r="CD29" s="62">
        <f ca="1">AVERAGE(OFFSET($CC$3,0,0,'Données projet'!$E$12+1,1))-AVERAGE(OFFSET($H$3,0,0,'Données projet'!$E$12+1,1))</f>
        <v>370.79299728190904</v>
      </c>
      <c r="CE29" s="62">
        <f t="shared" si="40"/>
        <v>404.95703400805775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6.2820512820512819</v>
      </c>
      <c r="CT29" s="13">
        <f>IF('Données projet'!$A$140&gt;35,CT28+CS29-DB28,IF(A29&lt;'Données projet'!$A$140,$CQ$205^A29,IF(A29='Données projet'!$A$140,'Données projet'!$B$140,CT28+CS29-DB28)))</f>
        <v>85.12820512820511</v>
      </c>
      <c r="CU29" s="18">
        <f>CT29*VLOOKUP('Données projet'!$B$13,Paramètres!$A$1:$I$89,3,0)*VLOOKUP('Données projet'!$B$13,Paramètres!$A$1:$I$89,5,0)</f>
        <v>81.007999999999981</v>
      </c>
      <c r="CV29" s="14">
        <f t="shared" si="41"/>
        <v>22.383465475834182</v>
      </c>
      <c r="CW29" s="22">
        <f t="shared" si="13"/>
        <v>180.07346903707784</v>
      </c>
      <c r="CX29" s="62">
        <f t="shared" si="14"/>
        <v>468.51791348152233</v>
      </c>
      <c r="CY29" s="62">
        <f ca="1">AVERAGE(OFFSET($CX$3,0,0,'Données projet'!$E$13+1,1))-AVERAGE(OFFSET($H$3,0,0,'Données projet'!$E$13+1,1))</f>
        <v>351.34897243264044</v>
      </c>
      <c r="CZ29" s="62">
        <f t="shared" si="42"/>
        <v>268.39685058071603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7.6923076923076934</v>
      </c>
      <c r="DO29" s="13">
        <f>IF('Données projet'!$A$166&gt;35,DO28+DN29-DW28,IF(A29&lt;'Données projet'!$A$166,$DL$205^A29,IF(A29='Données projet'!$A$166,'Données projet'!$B$166,DO28+DN29-DW28)))</f>
        <v>103.84615384615383</v>
      </c>
      <c r="DP29" s="18">
        <f>DO29*VLOOKUP('Données projet'!$B$14,Paramètres!$A$1:$I$89,3,0)*VLOOKUP('Données projet'!$B$14,Paramètres!$A$1:$I$89,5,0)</f>
        <v>69.66</v>
      </c>
      <c r="DQ29" s="14">
        <f t="shared" si="43"/>
        <v>19.588999676738897</v>
      </c>
      <c r="DR29" s="22">
        <f t="shared" si="16"/>
        <v>155.44200777032023</v>
      </c>
      <c r="DS29" s="62">
        <f t="shared" si="17"/>
        <v>443.88645221476469</v>
      </c>
      <c r="DT29" s="62">
        <f ca="1">AVERAGE(OFFSET($DS$3,0,0,'Données projet'!$E$14+1,1))-AVERAGE(OFFSET($H$3,0,0,'Données projet'!$E$14+1,1))</f>
        <v>290.46086333591074</v>
      </c>
      <c r="DU29" s="62">
        <f t="shared" si="44"/>
        <v>236.8495901994267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8.8000000000000007</v>
      </c>
      <c r="EJ29" s="13">
        <f>IF('Données projet'!$A$192&gt;35,EJ28+EI29-ER28,IF(A29&lt;'Données projet'!$A$192,$EG$205^A29,IF(A29='Données projet'!$A$192,'Données projet'!$B$192,EJ28+EI29-ER28)))</f>
        <v>110.79999999999997</v>
      </c>
      <c r="EK29" s="18">
        <f>EJ29*VLOOKUP('Données projet'!$B$15,Paramètres!$A$1:$I$89,3,0)*VLOOKUP('Données projet'!$B$15,Paramètres!$A$1:$I$89,5,0)</f>
        <v>89.880959999999973</v>
      </c>
      <c r="EL29" s="14">
        <f t="shared" si="45"/>
        <v>24.536513201257339</v>
      </c>
      <c r="EM29" s="22">
        <f t="shared" si="19"/>
        <v>199.27709915885649</v>
      </c>
      <c r="EN29" s="62">
        <f t="shared" si="20"/>
        <v>487.72154360330092</v>
      </c>
      <c r="EO29" s="62">
        <f ca="1">AVERAGE(OFFSET($EN$3,0,0,'Données projet'!$E$15+1,1))-AVERAGE(OFFSET($H$3,0,0,'Données projet'!$E$15+1,1))</f>
        <v>256.19915261735281</v>
      </c>
      <c r="EP29" s="62">
        <f t="shared" si="46"/>
        <v>297.47246687305056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>
        <f>VLOOKUP(A30,'Données projet'!$A$35:$I$55,2,0)</f>
        <v>77</v>
      </c>
      <c r="L30" s="13">
        <f>VLOOKUP(A30,'Données projet'!$A$35:$I$55,9,0)</f>
        <v>10.166666666666666</v>
      </c>
      <c r="M30" s="13">
        <f t="array" ref="M30">INDEX(L:L,MIN(IF(ISNUMBER(L30:L226),ROW(L30:L226),"")))</f>
        <v>10.166666666666666</v>
      </c>
      <c r="N30" s="14">
        <f>IF('Données projet'!$A$36&gt;35,N29+M30-V29,IF(A30&lt;'Données projet'!$A$36,$K$205^A30,IF(A30='Données projet'!$A$36,'Données projet'!$B$36,N29+M30-V29)))</f>
        <v>77</v>
      </c>
      <c r="O30" s="14">
        <f>N30*VLOOKUP('Données projet'!$B$9,Paramètres!$A$1:$I$89,3,0)*VLOOKUP('Données projet'!$B$9,Paramètres!$A$1:$I$89,5,0)</f>
        <v>66.066000000000003</v>
      </c>
      <c r="P30" s="14">
        <f t="shared" si="33"/>
        <v>18.69324238096624</v>
      </c>
      <c r="Q30" s="22">
        <f t="shared" si="2"/>
        <v>147.62234714684953</v>
      </c>
      <c r="R30" s="62">
        <f t="shared" si="0"/>
        <v>437.28901381351625</v>
      </c>
      <c r="S30" s="62">
        <f ca="1">AVERAGE(OFFSET($R$3,0,0,'Données projet'!$E$9+1,1))-AVERAGE(OFFSET($H$3,0,0,'Données projet'!$E$9+1,1))</f>
        <v>446.27304516866047</v>
      </c>
      <c r="T30" s="62">
        <f t="shared" si="34"/>
        <v>230.82970731138215</v>
      </c>
      <c r="U30" s="16">
        <f>IF(ISNA(VLOOKUP(A30,'Données projet'!$A$35:$I$55,3,0)),0,VLOOKUP(A30,'Données projet'!$A$35:$I$55,3,0))</f>
        <v>1</v>
      </c>
      <c r="V30" s="16">
        <f>IF(ISNA(VLOOKUP(A30,'Données projet'!$A$35:$I$55,4,0)),0,VLOOKUP(A30,'Données projet'!$A$35:$I$55,4,0))</f>
        <v>12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16.399999999999999</v>
      </c>
      <c r="AI30" s="14">
        <f>IF('Données projet'!$A$62&gt;35,AI29+AH30-AQ29,IF(A30&lt;'Données projet'!$A$62,$AF$205^A30,IF(A30='Données projet'!$A$62,'Données projet'!$B$62,AI29+AH30-AQ29)))</f>
        <v>197.80000000000004</v>
      </c>
      <c r="AJ30" s="14">
        <f>AI30*VLOOKUP('Données projet'!$B$10,Paramètres!$A$1:$I$89,3,0)*VLOOKUP('Données projet'!$B$10,Paramètres!$A$1:$I$89,5,0)</f>
        <v>157.36968000000005</v>
      </c>
      <c r="AK30" s="14">
        <f t="shared" si="35"/>
        <v>40.248668251494969</v>
      </c>
      <c r="AL30" s="22">
        <f t="shared" si="4"/>
        <v>344.18528987135386</v>
      </c>
      <c r="AM30" s="62">
        <f t="shared" si="5"/>
        <v>633.85195653802054</v>
      </c>
      <c r="AN30" s="62">
        <f ca="1">AVERAGE(OFFSET($AM$3,0,0,'Données projet'!$E$10+1,1))-AVERAGE(OFFSET($H$3,0,0,'Données projet'!$E$10+1,1))</f>
        <v>427.78067187784063</v>
      </c>
      <c r="AO30" s="62">
        <f t="shared" si="36"/>
        <v>464.22892523825118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11.5</v>
      </c>
      <c r="BD30" s="13">
        <f>IF('Données projet'!$A$88&gt;35,BD29+BC30-BL29,IF(A30&lt;'Données projet'!$A$88,$BA$205^A30,IF(A30='Données projet'!$A$88,'Données projet'!$B$88,BD29+BC30-BL29)))</f>
        <v>109.00000000000001</v>
      </c>
      <c r="BE30" s="14">
        <f>BD30*VLOOKUP('Données projet'!$B$11,Paramètres!$A$1:$I$89,3,0)*VLOOKUP('Données projet'!$B$11,Paramètres!$A$1:$I$89,5,0)</f>
        <v>85.02000000000001</v>
      </c>
      <c r="BF30" s="14">
        <f t="shared" si="37"/>
        <v>23.360218970693108</v>
      </c>
      <c r="BG30" s="22">
        <f t="shared" si="7"/>
        <v>188.7622147072905</v>
      </c>
      <c r="BH30" s="62">
        <f t="shared" si="8"/>
        <v>478.42888137395721</v>
      </c>
      <c r="BI30" s="62">
        <f ca="1">AVERAGE(OFFSET($BH$3,0,0,'Données projet'!$E$11+1,1))-AVERAGE(OFFSET($H$3,0,0,'Données projet'!$E$11+1,1))</f>
        <v>312.09994042858187</v>
      </c>
      <c r="BJ30" s="62">
        <f t="shared" si="38"/>
        <v>283.48738729114024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14.2</v>
      </c>
      <c r="BY30" s="13">
        <f>IF('Données projet'!$A$114&gt;35,BY29+BX30-CG29,IF(A30&lt;'Données projet'!$A$114,$BV$205^A30,IF(A30='Données projet'!$A$114,'Données projet'!$B$114,BY29+BX30-CG29)))</f>
        <v>169.39999999999998</v>
      </c>
      <c r="BZ30" s="14">
        <f>BY30*VLOOKUP('Données projet'!$B$12,Paramètres!$A$1:$I$89,3,0)*VLOOKUP('Données projet'!$B$12,Paramètres!$A$1:$I$89,5,0)</f>
        <v>134.77464000000001</v>
      </c>
      <c r="CA30" s="14">
        <f t="shared" si="39"/>
        <v>35.097311734235603</v>
      </c>
      <c r="CB30" s="22">
        <f t="shared" si="10"/>
        <v>295.86031593712704</v>
      </c>
      <c r="CC30" s="62">
        <f t="shared" si="11"/>
        <v>585.52698260379373</v>
      </c>
      <c r="CD30" s="62">
        <f ca="1">AVERAGE(OFFSET($CC$3,0,0,'Données projet'!$E$12+1,1))-AVERAGE(OFFSET($H$3,0,0,'Données projet'!$E$12+1,1))</f>
        <v>370.79299728190904</v>
      </c>
      <c r="CE30" s="62">
        <f t="shared" si="40"/>
        <v>404.95703400805775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6.2820512820512819</v>
      </c>
      <c r="CT30" s="13">
        <f>IF('Données projet'!$A$140&gt;35,CT29+CS30-DB29,IF(A30&lt;'Données projet'!$A$140,$CQ$205^A30,IF(A30='Données projet'!$A$140,'Données projet'!$B$140,CT29+CS30-DB29)))</f>
        <v>91.410256410256395</v>
      </c>
      <c r="CU30" s="18">
        <f>CT30*VLOOKUP('Données projet'!$B$13,Paramètres!$A$1:$I$89,3,0)*VLOOKUP('Données projet'!$B$13,Paramètres!$A$1:$I$89,5,0)</f>
        <v>86.985999999999976</v>
      </c>
      <c r="CV30" s="14">
        <f t="shared" si="41"/>
        <v>23.836886019918609</v>
      </c>
      <c r="CW30" s="22">
        <f t="shared" si="13"/>
        <v>193.01652648469152</v>
      </c>
      <c r="CX30" s="62">
        <f t="shared" si="14"/>
        <v>482.68319315135818</v>
      </c>
      <c r="CY30" s="62">
        <f ca="1">AVERAGE(OFFSET($CX$3,0,0,'Données projet'!$E$13+1,1))-AVERAGE(OFFSET($H$3,0,0,'Données projet'!$E$13+1,1))</f>
        <v>351.34897243264044</v>
      </c>
      <c r="CZ30" s="62">
        <f t="shared" si="42"/>
        <v>268.39685058071603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7.6923076923076934</v>
      </c>
      <c r="DO30" s="13">
        <f>IF('Données projet'!$A$166&gt;35,DO29+DN30-DW29,IF(A30&lt;'Données projet'!$A$166,$DL$205^A30,IF(A30='Données projet'!$A$166,'Données projet'!$B$166,DO29+DN30-DW29)))</f>
        <v>111.53846153846152</v>
      </c>
      <c r="DP30" s="18">
        <f>DO30*VLOOKUP('Données projet'!$B$14,Paramètres!$A$1:$I$89,3,0)*VLOOKUP('Données projet'!$B$14,Paramètres!$A$1:$I$89,5,0)</f>
        <v>74.819999999999993</v>
      </c>
      <c r="DQ30" s="14">
        <f t="shared" si="43"/>
        <v>20.865755206280021</v>
      </c>
      <c r="DR30" s="22">
        <f t="shared" si="16"/>
        <v>166.65269031760437</v>
      </c>
      <c r="DS30" s="62">
        <f t="shared" si="17"/>
        <v>456.31935698427105</v>
      </c>
      <c r="DT30" s="62">
        <f ca="1">AVERAGE(OFFSET($DS$3,0,0,'Données projet'!$E$14+1,1))-AVERAGE(OFFSET($H$3,0,0,'Données projet'!$E$14+1,1))</f>
        <v>290.46086333591074</v>
      </c>
      <c r="DU30" s="62">
        <f t="shared" si="44"/>
        <v>236.8495901994267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8.8000000000000007</v>
      </c>
      <c r="EJ30" s="13">
        <f>IF('Données projet'!$A$192&gt;35,EJ29+EI30-ER29,IF(A30&lt;'Données projet'!$A$192,$EG$205^A30,IF(A30='Données projet'!$A$192,'Données projet'!$B$192,EJ29+EI30-ER29)))</f>
        <v>119.59999999999997</v>
      </c>
      <c r="EK30" s="18">
        <f>EJ30*VLOOKUP('Données projet'!$B$15,Paramètres!$A$1:$I$89,3,0)*VLOOKUP('Données projet'!$B$15,Paramètres!$A$1:$I$89,5,0)</f>
        <v>97.019519999999986</v>
      </c>
      <c r="EL30" s="14">
        <f t="shared" si="45"/>
        <v>26.250693712468323</v>
      </c>
      <c r="EM30" s="22">
        <f t="shared" si="19"/>
        <v>214.69562221588228</v>
      </c>
      <c r="EN30" s="62">
        <f t="shared" si="20"/>
        <v>504.36228888254897</v>
      </c>
      <c r="EO30" s="62">
        <f ca="1">AVERAGE(OFFSET($EN$3,0,0,'Données projet'!$E$15+1,1))-AVERAGE(OFFSET($H$3,0,0,'Données projet'!$E$15+1,1))</f>
        <v>256.19915261735281</v>
      </c>
      <c r="EP30" s="62">
        <f t="shared" si="46"/>
        <v>297.47246687305056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12.333333333333334</v>
      </c>
      <c r="N31" s="14">
        <f>IF('Données projet'!$A$36&gt;35,N30+M31-V30,IF(A31&lt;'Données projet'!$A$36,$K$205^A31,IF(A31='Données projet'!$A$36,'Données projet'!$B$36,N30+M31-V30)))</f>
        <v>77.333333333333329</v>
      </c>
      <c r="O31" s="14">
        <f>N31*VLOOKUP('Données projet'!$B$9,Paramètres!$A$1:$I$89,3,0)*VLOOKUP('Données projet'!$B$9,Paramètres!$A$1:$I$89,5,0)</f>
        <v>66.352000000000004</v>
      </c>
      <c r="P31" s="14">
        <f t="shared" si="33"/>
        <v>18.764728069895565</v>
      </c>
      <c r="Q31" s="22">
        <f t="shared" si="2"/>
        <v>148.24496805506811</v>
      </c>
      <c r="R31" s="62">
        <f t="shared" si="0"/>
        <v>439.13385694395697</v>
      </c>
      <c r="S31" s="62">
        <f ca="1">AVERAGE(OFFSET($R$3,0,0,'Données projet'!$E$9+1,1))-AVERAGE(OFFSET($H$3,0,0,'Données projet'!$E$9+1,1))</f>
        <v>446.27304516866047</v>
      </c>
      <c r="T31" s="62">
        <f t="shared" si="34"/>
        <v>230.82970731138215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16.399999999999999</v>
      </c>
      <c r="AI31" s="14">
        <f>IF('Données projet'!$A$62&gt;35,AI30+AH31-AQ30,IF(A31&lt;'Données projet'!$A$62,$AF$205^A31,IF(A31='Données projet'!$A$62,'Données projet'!$B$62,AI30+AH31-AQ30)))</f>
        <v>214.20000000000005</v>
      </c>
      <c r="AJ31" s="14">
        <f>AI31*VLOOKUP('Données projet'!$B$10,Paramètres!$A$1:$I$89,3,0)*VLOOKUP('Données projet'!$B$10,Paramètres!$A$1:$I$89,5,0)</f>
        <v>170.41752000000002</v>
      </c>
      <c r="AK31" s="14">
        <f t="shared" si="35"/>
        <v>43.183520822110523</v>
      </c>
      <c r="AL31" s="22">
        <f t="shared" si="4"/>
        <v>372.02181276517587</v>
      </c>
      <c r="AM31" s="62">
        <f t="shared" si="5"/>
        <v>662.91070165406472</v>
      </c>
      <c r="AN31" s="62">
        <f ca="1">AVERAGE(OFFSET($AM$3,0,0,'Données projet'!$E$10+1,1))-AVERAGE(OFFSET($H$3,0,0,'Données projet'!$E$10+1,1))</f>
        <v>427.78067187784063</v>
      </c>
      <c r="AO31" s="62">
        <f t="shared" si="36"/>
        <v>464.22892523825118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11.5</v>
      </c>
      <c r="BD31" s="13">
        <f>IF('Données projet'!$A$88&gt;35,BD30+BC31-BL30,IF(A31&lt;'Données projet'!$A$88,$BA$205^A31,IF(A31='Données projet'!$A$88,'Données projet'!$B$88,BD30+BC31-BL30)))</f>
        <v>120.50000000000001</v>
      </c>
      <c r="BE31" s="14">
        <f>BD31*VLOOKUP('Données projet'!$B$11,Paramètres!$A$1:$I$89,3,0)*VLOOKUP('Données projet'!$B$11,Paramètres!$A$1:$I$89,5,0)</f>
        <v>93.990000000000009</v>
      </c>
      <c r="BF31" s="14">
        <f t="shared" si="37"/>
        <v>25.525074036970079</v>
      </c>
      <c r="BG31" s="22">
        <f t="shared" si="7"/>
        <v>208.15542061438956</v>
      </c>
      <c r="BH31" s="62">
        <f t="shared" si="8"/>
        <v>499.04430950327844</v>
      </c>
      <c r="BI31" s="62">
        <f ca="1">AVERAGE(OFFSET($BH$3,0,0,'Données projet'!$E$11+1,1))-AVERAGE(OFFSET($H$3,0,0,'Données projet'!$E$11+1,1))</f>
        <v>312.09994042858187</v>
      </c>
      <c r="BJ31" s="62">
        <f t="shared" si="38"/>
        <v>283.48738729114024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14.2</v>
      </c>
      <c r="BY31" s="13">
        <f>IF('Données projet'!$A$114&gt;35,BY30+BX31-CG30,IF(A31&lt;'Données projet'!$A$114,$BV$205^A31,IF(A31='Données projet'!$A$114,'Données projet'!$B$114,BY30+BX31-CG30)))</f>
        <v>183.59999999999997</v>
      </c>
      <c r="BZ31" s="14">
        <f>BY31*VLOOKUP('Données projet'!$B$12,Paramètres!$A$1:$I$89,3,0)*VLOOKUP('Données projet'!$B$12,Paramètres!$A$1:$I$89,5,0)</f>
        <v>146.07215999999997</v>
      </c>
      <c r="CA31" s="14">
        <f t="shared" si="39"/>
        <v>37.684596095571003</v>
      </c>
      <c r="CB31" s="22">
        <f t="shared" si="10"/>
        <v>320.04301686645277</v>
      </c>
      <c r="CC31" s="62">
        <f t="shared" si="11"/>
        <v>610.93190575534163</v>
      </c>
      <c r="CD31" s="62">
        <f ca="1">AVERAGE(OFFSET($CC$3,0,0,'Données projet'!$E$12+1,1))-AVERAGE(OFFSET($H$3,0,0,'Données projet'!$E$12+1,1))</f>
        <v>370.79299728190904</v>
      </c>
      <c r="CE31" s="62">
        <f t="shared" si="40"/>
        <v>404.95703400805775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6.2820512820512819</v>
      </c>
      <c r="CT31" s="13">
        <f>IF('Données projet'!$A$140&gt;35,CT30+CS31-DB30,IF(A31&lt;'Données projet'!$A$140,$CQ$205^A31,IF(A31='Données projet'!$A$140,'Données projet'!$B$140,CT30+CS31-DB30)))</f>
        <v>97.692307692307679</v>
      </c>
      <c r="CU31" s="18">
        <f>CT31*VLOOKUP('Données projet'!$B$13,Paramètres!$A$1:$I$89,3,0)*VLOOKUP('Données projet'!$B$13,Paramètres!$A$1:$I$89,5,0)</f>
        <v>92.963999999999999</v>
      </c>
      <c r="CV31" s="14">
        <f t="shared" si="41"/>
        <v>25.278716767788097</v>
      </c>
      <c r="CW31" s="22">
        <f t="shared" si="13"/>
        <v>205.93939837056428</v>
      </c>
      <c r="CX31" s="62">
        <f t="shared" si="14"/>
        <v>496.82828725945313</v>
      </c>
      <c r="CY31" s="62">
        <f ca="1">AVERAGE(OFFSET($CX$3,0,0,'Données projet'!$E$13+1,1))-AVERAGE(OFFSET($H$3,0,0,'Données projet'!$E$13+1,1))</f>
        <v>351.34897243264044</v>
      </c>
      <c r="CZ31" s="62">
        <f t="shared" si="42"/>
        <v>268.39685058071603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7.6923076923076934</v>
      </c>
      <c r="DO31" s="13">
        <f>IF('Données projet'!$A$166&gt;35,DO30+DN31-DW30,IF(A31&lt;'Données projet'!$A$166,$DL$205^A31,IF(A31='Données projet'!$A$166,'Données projet'!$B$166,DO30+DN31-DW30)))</f>
        <v>119.23076923076921</v>
      </c>
      <c r="DP31" s="18">
        <f>DO31*VLOOKUP('Données projet'!$B$14,Paramètres!$A$1:$I$89,3,0)*VLOOKUP('Données projet'!$B$14,Paramètres!$A$1:$I$89,5,0)</f>
        <v>79.97999999999999</v>
      </c>
      <c r="DQ31" s="14">
        <f t="shared" si="43"/>
        <v>22.132293953529679</v>
      </c>
      <c r="DR31" s="22">
        <f t="shared" si="16"/>
        <v>177.84557863573085</v>
      </c>
      <c r="DS31" s="62">
        <f t="shared" si="17"/>
        <v>468.73446752461973</v>
      </c>
      <c r="DT31" s="62">
        <f ca="1">AVERAGE(OFFSET($DS$3,0,0,'Données projet'!$E$14+1,1))-AVERAGE(OFFSET($H$3,0,0,'Données projet'!$E$14+1,1))</f>
        <v>290.46086333591074</v>
      </c>
      <c r="DU31" s="62">
        <f t="shared" si="44"/>
        <v>236.8495901994267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8.8000000000000007</v>
      </c>
      <c r="EJ31" s="13">
        <f>IF('Données projet'!$A$192&gt;35,EJ30+EI31-ER30,IF(A31&lt;'Données projet'!$A$192,$EG$205^A31,IF(A31='Données projet'!$A$192,'Données projet'!$B$192,EJ30+EI31-ER30)))</f>
        <v>128.39999999999998</v>
      </c>
      <c r="EK31" s="18">
        <f>EJ31*VLOOKUP('Données projet'!$B$15,Paramètres!$A$1:$I$89,3,0)*VLOOKUP('Données projet'!$B$15,Paramètres!$A$1:$I$89,5,0)</f>
        <v>104.15807999999998</v>
      </c>
      <c r="EL31" s="14">
        <f t="shared" si="45"/>
        <v>27.950241801489337</v>
      </c>
      <c r="EM31" s="22">
        <f t="shared" si="19"/>
        <v>230.08866047092724</v>
      </c>
      <c r="EN31" s="62">
        <f t="shared" si="20"/>
        <v>520.97754935981607</v>
      </c>
      <c r="EO31" s="62">
        <f ca="1">AVERAGE(OFFSET($EN$3,0,0,'Données projet'!$E$15+1,1))-AVERAGE(OFFSET($H$3,0,0,'Données projet'!$E$15+1,1))</f>
        <v>256.19915261735281</v>
      </c>
      <c r="EP31" s="62">
        <f t="shared" si="46"/>
        <v>297.47246687305056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12.333333333333334</v>
      </c>
      <c r="N32" s="14">
        <f>IF('Données projet'!$A$36&gt;35,N31+M32-V31,IF(A32&lt;'Données projet'!$A$36,$K$205^A32,IF(A32='Données projet'!$A$36,'Données projet'!$B$36,N31+M32-V31)))</f>
        <v>89.666666666666657</v>
      </c>
      <c r="O32" s="14">
        <f>N32*VLOOKUP('Données projet'!$B$9,Paramètres!$A$1:$I$89,3,0)*VLOOKUP('Données projet'!$B$9,Paramètres!$A$1:$I$89,5,0)</f>
        <v>76.933999999999997</v>
      </c>
      <c r="P32" s="14">
        <f t="shared" si="33"/>
        <v>21.385834734197029</v>
      </c>
      <c r="Q32" s="22">
        <f t="shared" si="2"/>
        <v>171.24037882872651</v>
      </c>
      <c r="R32" s="62">
        <f t="shared" si="0"/>
        <v>463.35148993983762</v>
      </c>
      <c r="S32" s="62">
        <f ca="1">AVERAGE(OFFSET($R$3,0,0,'Données projet'!$E$9+1,1))-AVERAGE(OFFSET($H$3,0,0,'Données projet'!$E$9+1,1))</f>
        <v>446.27304516866047</v>
      </c>
      <c r="T32" s="62">
        <f t="shared" si="34"/>
        <v>230.82970731138215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16.399999999999999</v>
      </c>
      <c r="AI32" s="14">
        <f>IF('Données projet'!$A$62&gt;35,AI31+AH32-AQ31,IF(A32&lt;'Données projet'!$A$62,$AF$205^A32,IF(A32='Données projet'!$A$62,'Données projet'!$B$62,AI31+AH32-AQ31)))</f>
        <v>230.60000000000005</v>
      </c>
      <c r="AJ32" s="14">
        <f>AI32*VLOOKUP('Données projet'!$B$10,Paramètres!$A$1:$I$89,3,0)*VLOOKUP('Données projet'!$B$10,Paramètres!$A$1:$I$89,5,0)</f>
        <v>183.46536000000003</v>
      </c>
      <c r="AK32" s="14">
        <f t="shared" si="35"/>
        <v>46.092307191940968</v>
      </c>
      <c r="AL32" s="22">
        <f t="shared" si="4"/>
        <v>399.81293702596389</v>
      </c>
      <c r="AM32" s="62">
        <f t="shared" si="5"/>
        <v>691.92404813707503</v>
      </c>
      <c r="AN32" s="62">
        <f ca="1">AVERAGE(OFFSET($AM$3,0,0,'Données projet'!$E$10+1,1))-AVERAGE(OFFSET($H$3,0,0,'Données projet'!$E$10+1,1))</f>
        <v>427.78067187784063</v>
      </c>
      <c r="AO32" s="62">
        <f t="shared" si="36"/>
        <v>464.22892523825118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11.5</v>
      </c>
      <c r="BD32" s="13">
        <f>IF('Données projet'!$A$88&gt;35,BD31+BC32-BL31,IF(A32&lt;'Données projet'!$A$88,$BA$205^A32,IF(A32='Données projet'!$A$88,'Données projet'!$B$88,BD31+BC32-BL31)))</f>
        <v>132</v>
      </c>
      <c r="BE32" s="14">
        <f>BD32*VLOOKUP('Données projet'!$B$11,Paramètres!$A$1:$I$89,3,0)*VLOOKUP('Données projet'!$B$11,Paramètres!$A$1:$I$89,5,0)</f>
        <v>102.96000000000001</v>
      </c>
      <c r="BF32" s="14">
        <f t="shared" si="37"/>
        <v>27.665975080374633</v>
      </c>
      <c r="BG32" s="22">
        <f t="shared" si="7"/>
        <v>227.50690659831915</v>
      </c>
      <c r="BH32" s="62">
        <f t="shared" si="8"/>
        <v>519.61801770943032</v>
      </c>
      <c r="BI32" s="62">
        <f ca="1">AVERAGE(OFFSET($BH$3,0,0,'Données projet'!$E$11+1,1))-AVERAGE(OFFSET($H$3,0,0,'Données projet'!$E$11+1,1))</f>
        <v>312.09994042858187</v>
      </c>
      <c r="BJ32" s="62">
        <f t="shared" si="38"/>
        <v>283.48738729114024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14.2</v>
      </c>
      <c r="BY32" s="13">
        <f>IF('Données projet'!$A$114&gt;35,BY31+BX32-CG31,IF(A32&lt;'Données projet'!$A$114,$BV$205^A32,IF(A32='Données projet'!$A$114,'Données projet'!$B$114,BY31+BX32-CG31)))</f>
        <v>197.79999999999995</v>
      </c>
      <c r="BZ32" s="14">
        <f>BY32*VLOOKUP('Données projet'!$B$12,Paramètres!$A$1:$I$89,3,0)*VLOOKUP('Données projet'!$B$12,Paramètres!$A$1:$I$89,5,0)</f>
        <v>157.36967999999996</v>
      </c>
      <c r="CA32" s="14">
        <f t="shared" si="39"/>
        <v>40.248668251494934</v>
      </c>
      <c r="CB32" s="22">
        <f t="shared" si="10"/>
        <v>344.18528987135363</v>
      </c>
      <c r="CC32" s="62">
        <f t="shared" si="11"/>
        <v>636.29640098246477</v>
      </c>
      <c r="CD32" s="62">
        <f ca="1">AVERAGE(OFFSET($CC$3,0,0,'Données projet'!$E$12+1,1))-AVERAGE(OFFSET($H$3,0,0,'Données projet'!$E$12+1,1))</f>
        <v>370.79299728190904</v>
      </c>
      <c r="CE32" s="62">
        <f t="shared" si="40"/>
        <v>404.95703400805775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6.2820512820512819</v>
      </c>
      <c r="CT32" s="13">
        <f>IF('Données projet'!$A$140&gt;35,CT31+CS32-DB31,IF(A32&lt;'Données projet'!$A$140,$CQ$205^A32,IF(A32='Données projet'!$A$140,'Données projet'!$B$140,CT31+CS32-DB31)))</f>
        <v>103.97435897435896</v>
      </c>
      <c r="CU32" s="18">
        <f>CT32*VLOOKUP('Données projet'!$B$13,Paramètres!$A$1:$I$89,3,0)*VLOOKUP('Données projet'!$B$13,Paramètres!$A$1:$I$89,5,0)</f>
        <v>98.941999999999993</v>
      </c>
      <c r="CV32" s="14">
        <f t="shared" si="41"/>
        <v>26.70978781959958</v>
      </c>
      <c r="CW32" s="22">
        <f t="shared" si="13"/>
        <v>218.84353045246925</v>
      </c>
      <c r="CX32" s="62">
        <f t="shared" si="14"/>
        <v>510.95464156358037</v>
      </c>
      <c r="CY32" s="62">
        <f ca="1">AVERAGE(OFFSET($CX$3,0,0,'Données projet'!$E$13+1,1))-AVERAGE(OFFSET($H$3,0,0,'Données projet'!$E$13+1,1))</f>
        <v>351.34897243264044</v>
      </c>
      <c r="CZ32" s="62">
        <f t="shared" si="42"/>
        <v>268.39685058071603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7.6923076923076934</v>
      </c>
      <c r="DO32" s="13">
        <f>IF('Données projet'!$A$166&gt;35,DO31+DN32-DW31,IF(A32&lt;'Données projet'!$A$166,$DL$205^A32,IF(A32='Données projet'!$A$166,'Données projet'!$B$166,DO31+DN32-DW31)))</f>
        <v>126.92307692307691</v>
      </c>
      <c r="DP32" s="18">
        <f>DO32*VLOOKUP('Données projet'!$B$14,Paramètres!$A$1:$I$89,3,0)*VLOOKUP('Données projet'!$B$14,Paramètres!$A$1:$I$89,5,0)</f>
        <v>85.139999999999986</v>
      </c>
      <c r="DQ32" s="14">
        <f t="shared" si="43"/>
        <v>23.389350085445869</v>
      </c>
      <c r="DR32" s="22">
        <f t="shared" si="16"/>
        <v>189.02195139881817</v>
      </c>
      <c r="DS32" s="62">
        <f t="shared" si="17"/>
        <v>481.13306250992935</v>
      </c>
      <c r="DT32" s="62">
        <f ca="1">AVERAGE(OFFSET($DS$3,0,0,'Données projet'!$E$14+1,1))-AVERAGE(OFFSET($H$3,0,0,'Données projet'!$E$14+1,1))</f>
        <v>290.46086333591074</v>
      </c>
      <c r="DU32" s="62">
        <f t="shared" si="44"/>
        <v>236.8495901994267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8.8000000000000007</v>
      </c>
      <c r="EJ32" s="13">
        <f>IF('Données projet'!$A$192&gt;35,EJ31+EI32-ER31,IF(A32&lt;'Données projet'!$A$192,$EG$205^A32,IF(A32='Données projet'!$A$192,'Données projet'!$B$192,EJ31+EI32-ER31)))</f>
        <v>137.19999999999999</v>
      </c>
      <c r="EK32" s="18">
        <f>EJ32*VLOOKUP('Données projet'!$B$15,Paramètres!$A$1:$I$89,3,0)*VLOOKUP('Données projet'!$B$15,Paramètres!$A$1:$I$89,5,0)</f>
        <v>111.29664</v>
      </c>
      <c r="EL32" s="14">
        <f t="shared" si="45"/>
        <v>29.636274399319777</v>
      </c>
      <c r="EM32" s="22">
        <f t="shared" si="19"/>
        <v>245.45815924548194</v>
      </c>
      <c r="EN32" s="62">
        <f t="shared" si="20"/>
        <v>537.56927035659305</v>
      </c>
      <c r="EO32" s="62">
        <f ca="1">AVERAGE(OFFSET($EN$3,0,0,'Données projet'!$E$15+1,1))-AVERAGE(OFFSET($H$3,0,0,'Données projet'!$E$15+1,1))</f>
        <v>256.19915261735281</v>
      </c>
      <c r="EP32" s="62">
        <f t="shared" si="46"/>
        <v>297.47246687305056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102</v>
      </c>
      <c r="L33" s="13">
        <f>VLOOKUP(A33,'Données projet'!$A$35:$I$55,9,0)</f>
        <v>12.333333333333334</v>
      </c>
      <c r="M33" s="13">
        <f t="array" ref="M33">INDEX(L:L,MIN(IF(ISNUMBER(L33:L229),ROW(L33:L229),"")))</f>
        <v>12.333333333333334</v>
      </c>
      <c r="N33" s="14">
        <f>IF('Données projet'!$A$36&gt;35,N32+M33-V32,IF(A33&lt;'Données projet'!$A$36,$K$205^A33,IF(A33='Données projet'!$A$36,'Données projet'!$B$36,N32+M33-V32)))</f>
        <v>101.99999999999999</v>
      </c>
      <c r="O33" s="14">
        <f>N33*VLOOKUP('Données projet'!$B$9,Paramètres!$A$1:$I$89,3,0)*VLOOKUP('Données projet'!$B$9,Paramètres!$A$1:$I$89,5,0)</f>
        <v>87.515999999999991</v>
      </c>
      <c r="P33" s="14">
        <f t="shared" si="33"/>
        <v>23.965171662037644</v>
      </c>
      <c r="Q33" s="22">
        <f t="shared" si="2"/>
        <v>194.16304064471555</v>
      </c>
      <c r="R33" s="62">
        <f t="shared" si="0"/>
        <v>487.49637397804884</v>
      </c>
      <c r="S33" s="62">
        <f ca="1">AVERAGE(OFFSET($R$3,0,0,'Données projet'!$E$9+1,1))-AVERAGE(OFFSET($H$3,0,0,'Données projet'!$E$9+1,1))</f>
        <v>446.27304516866047</v>
      </c>
      <c r="T33" s="62">
        <f t="shared" si="34"/>
        <v>230.82970731138215</v>
      </c>
      <c r="U33" s="16">
        <f>IF(ISNA(VLOOKUP(A33,'Données projet'!$A$35:$I$55,3,0)),0,VLOOKUP(A33,'Données projet'!$A$35:$I$55,3,0))</f>
        <v>2</v>
      </c>
      <c r="V33" s="16">
        <f>IF(ISNA(VLOOKUP(A33,'Données projet'!$A$35:$I$55,4,0)),0,VLOOKUP(A33,'Données projet'!$A$35:$I$55,4,0))</f>
        <v>13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247</v>
      </c>
      <c r="AG33" s="13">
        <f>VLOOKUP(A33,'Données projet'!$A$61:$I$81,9,0)</f>
        <v>16.399999999999999</v>
      </c>
      <c r="AH33" s="13">
        <f t="array" ref="AH33">INDEX(AG:AG,MIN(IF(ISNUMBER(AG33:AG229),ROW(AG33:AG229),"")))</f>
        <v>16.399999999999999</v>
      </c>
      <c r="AI33" s="14">
        <f>IF('Données projet'!$A$62&gt;35,AI32+AH33-AQ32,IF(A33&lt;'Données projet'!$A$62,$AF$205^A33,IF(A33='Données projet'!$A$62,'Données projet'!$B$62,AI32+AH33-AQ32)))</f>
        <v>247.00000000000006</v>
      </c>
      <c r="AJ33" s="14">
        <f>AI33*VLOOKUP('Données projet'!$B$10,Paramètres!$A$1:$I$89,3,0)*VLOOKUP('Données projet'!$B$10,Paramètres!$A$1:$I$89,5,0)</f>
        <v>196.51320000000004</v>
      </c>
      <c r="AK33" s="14">
        <f t="shared" si="35"/>
        <v>48.977092002823696</v>
      </c>
      <c r="AL33" s="22">
        <f t="shared" si="4"/>
        <v>427.56225857158461</v>
      </c>
      <c r="AM33" s="62">
        <f t="shared" si="5"/>
        <v>720.89559190491786</v>
      </c>
      <c r="AN33" s="62">
        <f ca="1">AVERAGE(OFFSET($AM$3,0,0,'Données projet'!$E$10+1,1))-AVERAGE(OFFSET($H$3,0,0,'Données projet'!$E$10+1,1))</f>
        <v>427.78067187784063</v>
      </c>
      <c r="AO33" s="62">
        <f t="shared" si="36"/>
        <v>464.22892523825118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84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11.5</v>
      </c>
      <c r="BD33" s="13">
        <f>IF('Données projet'!$A$88&gt;35,BD32+BC33-BL32,IF(A33&lt;'Données projet'!$A$88,$BA$205^A33,IF(A33='Données projet'!$A$88,'Données projet'!$B$88,BD32+BC33-BL32)))</f>
        <v>143.5</v>
      </c>
      <c r="BE33" s="14">
        <f>BD33*VLOOKUP('Données projet'!$B$11,Paramètres!$A$1:$I$89,3,0)*VLOOKUP('Données projet'!$B$11,Paramètres!$A$1:$I$89,5,0)</f>
        <v>111.93</v>
      </c>
      <c r="BF33" s="14">
        <f t="shared" si="37"/>
        <v>29.785246291563833</v>
      </c>
      <c r="BG33" s="22">
        <f t="shared" si="7"/>
        <v>246.82072062447364</v>
      </c>
      <c r="BH33" s="62">
        <f t="shared" si="8"/>
        <v>540.15405395780692</v>
      </c>
      <c r="BI33" s="62">
        <f ca="1">AVERAGE(OFFSET($BH$3,0,0,'Données projet'!$E$11+1,1))-AVERAGE(OFFSET($H$3,0,0,'Données projet'!$E$11+1,1))</f>
        <v>312.09994042858187</v>
      </c>
      <c r="BJ33" s="62">
        <f t="shared" si="38"/>
        <v>283.48738729114024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212</v>
      </c>
      <c r="BW33" s="13">
        <f>VLOOKUP(A33,'Données projet'!$A$113:$I$133,9,0)</f>
        <v>14.2</v>
      </c>
      <c r="BX33" s="13">
        <f t="array" ref="BX33">INDEX(BW:BW,MIN(IF(ISNUMBER(BW33:BW229),ROW(BW33:BW229),"")))</f>
        <v>14.2</v>
      </c>
      <c r="BY33" s="13">
        <f>IF('Données projet'!$A$114&gt;35,BY32+BX33-CG32,IF(A33&lt;'Données projet'!$A$114,$BV$205^A33,IF(A33='Données projet'!$A$114,'Données projet'!$B$114,BY32+BX33-CG32)))</f>
        <v>211.99999999999994</v>
      </c>
      <c r="BZ33" s="14">
        <f>BY33*VLOOKUP('Données projet'!$B$12,Paramètres!$A$1:$I$89,3,0)*VLOOKUP('Données projet'!$B$12,Paramètres!$A$1:$I$89,5,0)</f>
        <v>168.66719999999998</v>
      </c>
      <c r="CA33" s="14">
        <f t="shared" si="39"/>
        <v>42.791384119459089</v>
      </c>
      <c r="CB33" s="22">
        <f t="shared" si="10"/>
        <v>368.29036734139117</v>
      </c>
      <c r="CC33" s="62">
        <f t="shared" si="11"/>
        <v>661.62370067472443</v>
      </c>
      <c r="CD33" s="62">
        <f ca="1">AVERAGE(OFFSET($CC$3,0,0,'Données projet'!$E$12+1,1))-AVERAGE(OFFSET($H$3,0,0,'Données projet'!$E$12+1,1))</f>
        <v>370.79299728190904</v>
      </c>
      <c r="CE33" s="62">
        <f t="shared" si="40"/>
        <v>404.95703400805775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70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110.25641025641025</v>
      </c>
      <c r="CR33" s="13">
        <f>VLOOKUP(A33,'Données projet'!$A$139:$I$159,9,0)</f>
        <v>6.2820512820512819</v>
      </c>
      <c r="CS33" s="13">
        <f t="array" ref="CS33">INDEX(CR:CR,MIN(IF(ISNUMBER(CR33:CR229),ROW(CR33:CR229),"")))</f>
        <v>6.2820512820512819</v>
      </c>
      <c r="CT33" s="13">
        <f>IF('Données projet'!$A$140&gt;35,CT32+CS33-DB32,IF(A33&lt;'Données projet'!$A$140,$CQ$205^A33,IF(A33='Données projet'!$A$140,'Données projet'!$B$140,CT32+CS33-DB32)))</f>
        <v>110.25641025641025</v>
      </c>
      <c r="CU33" s="18">
        <f>CT33*VLOOKUP('Données projet'!$B$13,Paramètres!$A$1:$I$89,3,0)*VLOOKUP('Données projet'!$B$13,Paramètres!$A$1:$I$89,5,0)</f>
        <v>104.91999999999999</v>
      </c>
      <c r="CV33" s="14">
        <f t="shared" si="41"/>
        <v>28.130823299932707</v>
      </c>
      <c r="CW33" s="22">
        <f t="shared" si="13"/>
        <v>231.73018391404943</v>
      </c>
      <c r="CX33" s="62">
        <f t="shared" si="14"/>
        <v>525.06351724738272</v>
      </c>
      <c r="CY33" s="62">
        <f ca="1">AVERAGE(OFFSET($CX$3,0,0,'Données projet'!$E$13+1,1))-AVERAGE(OFFSET($H$3,0,0,'Données projet'!$E$13+1,1))</f>
        <v>351.34897243264044</v>
      </c>
      <c r="CZ33" s="62">
        <f t="shared" si="42"/>
        <v>268.39685058071603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24.358974358974358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134.61538461538461</v>
      </c>
      <c r="DM33" s="13">
        <f>VLOOKUP(A33,'Données projet'!$A$165:$I$185,9,0)</f>
        <v>7.6923076923076934</v>
      </c>
      <c r="DN33" s="13">
        <f t="array" ref="DN33">INDEX(DM:DM,MIN(IF(ISNUMBER(DM33:DM229),ROW(DM33:DM229),"")))</f>
        <v>7.6923076923076934</v>
      </c>
      <c r="DO33" s="13">
        <f>IF('Données projet'!$A$166&gt;35,DO32+DN33-DW32,IF(A33&lt;'Données projet'!$A$166,$DL$205^A33,IF(A33='Données projet'!$A$166,'Données projet'!$B$166,DO32+DN33-DW32)))</f>
        <v>134.61538461538458</v>
      </c>
      <c r="DP33" s="18">
        <f>DO33*VLOOKUP('Données projet'!$B$14,Paramètres!$A$1:$I$89,3,0)*VLOOKUP('Données projet'!$B$14,Paramètres!$A$1:$I$89,5,0)</f>
        <v>90.299999999999983</v>
      </c>
      <c r="DQ33" s="14">
        <f t="shared" si="43"/>
        <v>24.637563750867056</v>
      </c>
      <c r="DR33" s="22">
        <f t="shared" si="16"/>
        <v>200.1829235327601</v>
      </c>
      <c r="DS33" s="62">
        <f t="shared" si="17"/>
        <v>493.51625686609339</v>
      </c>
      <c r="DT33" s="62">
        <f ca="1">AVERAGE(OFFSET($DS$3,0,0,'Données projet'!$E$14+1,1))-AVERAGE(OFFSET($H$3,0,0,'Données projet'!$E$14+1,1))</f>
        <v>290.46086333591074</v>
      </c>
      <c r="DU33" s="62">
        <f t="shared" si="44"/>
        <v>236.8495901994267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30.128205128205128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146</v>
      </c>
      <c r="EH33" s="13">
        <f>VLOOKUP(A33,'Données projet'!$A$191:$I$211,9,0)</f>
        <v>8.8000000000000007</v>
      </c>
      <c r="EI33" s="13">
        <f t="array" ref="EI33">INDEX(EH:EH,MIN(IF(ISNUMBER(EH33:EH229),ROW(EH33:EH229),"")))</f>
        <v>8.8000000000000007</v>
      </c>
      <c r="EJ33" s="13">
        <f>IF('Données projet'!$A$192&gt;35,EJ32+EI33-ER32,IF(A33&lt;'Données projet'!$A$192,$EG$205^A33,IF(A33='Données projet'!$A$192,'Données projet'!$B$192,EJ32+EI33-ER32)))</f>
        <v>146</v>
      </c>
      <c r="EK33" s="18">
        <f>EJ33*VLOOKUP('Données projet'!$B$15,Paramètres!$A$1:$I$89,3,0)*VLOOKUP('Données projet'!$B$15,Paramètres!$A$1:$I$89,5,0)</f>
        <v>118.43520000000001</v>
      </c>
      <c r="EL33" s="14">
        <f t="shared" si="45"/>
        <v>31.309757056296963</v>
      </c>
      <c r="EM33" s="22">
        <f t="shared" si="19"/>
        <v>260.80580020638394</v>
      </c>
      <c r="EN33" s="62">
        <f t="shared" si="20"/>
        <v>554.13913353971725</v>
      </c>
      <c r="EO33" s="62">
        <f ca="1">AVERAGE(OFFSET($EN$3,0,0,'Données projet'!$E$15+1,1))-AVERAGE(OFFSET($H$3,0,0,'Données projet'!$E$15+1,1))</f>
        <v>256.19915261735281</v>
      </c>
      <c r="EP33" s="62">
        <f t="shared" si="46"/>
        <v>297.47246687305056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14.166666666666666</v>
      </c>
      <c r="N34" s="14">
        <f>IF('Données projet'!$A$36&gt;35,N33+M34-V33,IF(A34&lt;'Données projet'!$A$36,$K$205^A34,IF(A34='Données projet'!$A$36,'Données projet'!$B$36,N33+M34-V33)))</f>
        <v>103.16666666666666</v>
      </c>
      <c r="O34" s="14">
        <f>N34*VLOOKUP('Données projet'!$B$9,Paramètres!$A$1:$I$89,3,0)*VLOOKUP('Données projet'!$B$9,Paramètres!$A$1:$I$89,5,0)</f>
        <v>88.51700000000001</v>
      </c>
      <c r="P34" s="14">
        <f t="shared" si="33"/>
        <v>24.207215980626653</v>
      </c>
      <c r="Q34" s="22">
        <f t="shared" si="2"/>
        <v>196.32800949959145</v>
      </c>
      <c r="R34" s="62">
        <f t="shared" si="0"/>
        <v>489.66134283292479</v>
      </c>
      <c r="S34" s="62">
        <f ca="1">AVERAGE(OFFSET($R$3,0,0,'Données projet'!$E$9+1,1))-AVERAGE(OFFSET($H$3,0,0,'Données projet'!$E$9+1,1))</f>
        <v>446.27304516866047</v>
      </c>
      <c r="T34" s="62">
        <f t="shared" si="34"/>
        <v>230.82970731138215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15.2</v>
      </c>
      <c r="AI34" s="14">
        <f>IF('Données projet'!$A$62&gt;35,AI33+AH34-AQ33,IF(A34&lt;'Données projet'!$A$62,$AF$205^A34,IF(A34='Données projet'!$A$62,'Données projet'!$B$62,AI33+AH34-AQ33)))</f>
        <v>178.20000000000005</v>
      </c>
      <c r="AJ34" s="14">
        <f>AI34*VLOOKUP('Données projet'!$B$10,Paramètres!$A$1:$I$89,3,0)*VLOOKUP('Données projet'!$B$10,Paramètres!$A$1:$I$89,5,0)</f>
        <v>141.77592000000004</v>
      </c>
      <c r="AK34" s="14">
        <f t="shared" si="35"/>
        <v>36.703544878441981</v>
      </c>
      <c r="AL34" s="22">
        <f t="shared" si="4"/>
        <v>310.85173466328649</v>
      </c>
      <c r="AM34" s="62">
        <f t="shared" si="5"/>
        <v>604.18506799661986</v>
      </c>
      <c r="AN34" s="62">
        <f ca="1">AVERAGE(OFFSET($AM$3,0,0,'Données projet'!$E$10+1,1))-AVERAGE(OFFSET($H$3,0,0,'Données projet'!$E$10+1,1))</f>
        <v>427.78067187784063</v>
      </c>
      <c r="AO34" s="62">
        <f t="shared" si="36"/>
        <v>464.22892523825118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>
        <f>VLOOKUP(A34,'Données projet'!$A$87:$I$107,2,0)</f>
        <v>155</v>
      </c>
      <c r="BB34" s="13">
        <f>VLOOKUP(A34,'Données projet'!$A$87:$I$107,9,0)</f>
        <v>11.5</v>
      </c>
      <c r="BC34" s="13">
        <f t="array" ref="BC34">INDEX(BB:BB,MIN(IF(ISNUMBER(BB34:BB230),ROW(BB34:BB230),"")))</f>
        <v>11.5</v>
      </c>
      <c r="BD34" s="13">
        <f>IF('Données projet'!$A$88&gt;35,BD33+BC34-BL33,IF(A34&lt;'Données projet'!$A$88,$BA$205^A34,IF(A34='Données projet'!$A$88,'Données projet'!$B$88,BD33+BC34-BL33)))</f>
        <v>155</v>
      </c>
      <c r="BE34" s="14">
        <f>BD34*VLOOKUP('Données projet'!$B$11,Paramètres!$A$1:$I$89,3,0)*VLOOKUP('Données projet'!$B$11,Paramètres!$A$1:$I$89,5,0)</f>
        <v>120.9</v>
      </c>
      <c r="BF34" s="14">
        <f t="shared" si="37"/>
        <v>31.884818143351602</v>
      </c>
      <c r="BG34" s="22">
        <f t="shared" si="7"/>
        <v>266.10022493300403</v>
      </c>
      <c r="BH34" s="62">
        <f t="shared" si="8"/>
        <v>559.43355826633729</v>
      </c>
      <c r="BI34" s="62">
        <f ca="1">AVERAGE(OFFSET($BH$3,0,0,'Données projet'!$E$11+1,1))-AVERAGE(OFFSET($H$3,0,0,'Données projet'!$E$11+1,1))</f>
        <v>312.09994042858187</v>
      </c>
      <c r="BJ34" s="62">
        <f t="shared" si="38"/>
        <v>283.48738729114024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12.8</v>
      </c>
      <c r="BY34" s="13">
        <f>IF('Données projet'!$A$114&gt;35,BY33+BX34-CG33,IF(A34&lt;'Données projet'!$A$114,$BV$205^A34,IF(A34='Données projet'!$A$114,'Données projet'!$B$114,BY33+BX34-CG33)))</f>
        <v>154.79999999999995</v>
      </c>
      <c r="BZ34" s="14">
        <f>BY34*VLOOKUP('Données projet'!$B$12,Paramètres!$A$1:$I$89,3,0)*VLOOKUP('Données projet'!$B$12,Paramètres!$A$1:$I$89,5,0)</f>
        <v>123.15887999999997</v>
      </c>
      <c r="CA34" s="14">
        <f t="shared" si="39"/>
        <v>32.410638331814873</v>
      </c>
      <c r="CB34" s="22">
        <f t="shared" si="10"/>
        <v>270.95024442791083</v>
      </c>
      <c r="CC34" s="62">
        <f t="shared" si="11"/>
        <v>564.28357776124415</v>
      </c>
      <c r="CD34" s="62">
        <f ca="1">AVERAGE(OFFSET($CC$3,0,0,'Données projet'!$E$12+1,1))-AVERAGE(OFFSET($H$3,0,0,'Données projet'!$E$12+1,1))</f>
        <v>370.79299728190904</v>
      </c>
      <c r="CE34" s="62">
        <f t="shared" si="40"/>
        <v>404.95703400805775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6.1538461538461551</v>
      </c>
      <c r="CT34" s="13">
        <f>IF('Données projet'!$A$140&gt;35,CT33+CS34-DB33,IF(A34&lt;'Données projet'!$A$140,$CQ$205^A34,IF(A34='Données projet'!$A$140,'Données projet'!$B$140,CT33+CS34-DB33)))</f>
        <v>92.051282051282044</v>
      </c>
      <c r="CU34" s="18">
        <f>CT34*VLOOKUP('Données projet'!$B$13,Paramètres!$A$1:$I$89,3,0)*VLOOKUP('Données projet'!$B$13,Paramètres!$A$1:$I$89,5,0)</f>
        <v>87.595999999999989</v>
      </c>
      <c r="CV34" s="14">
        <f t="shared" si="41"/>
        <v>23.98452766503992</v>
      </c>
      <c r="CW34" s="22">
        <f t="shared" si="13"/>
        <v>194.33608568327782</v>
      </c>
      <c r="CX34" s="62">
        <f t="shared" si="14"/>
        <v>487.66941901661113</v>
      </c>
      <c r="CY34" s="62">
        <f ca="1">AVERAGE(OFFSET($CX$3,0,0,'Données projet'!$E$13+1,1))-AVERAGE(OFFSET($H$3,0,0,'Données projet'!$E$13+1,1))</f>
        <v>351.34897243264044</v>
      </c>
      <c r="CZ34" s="62">
        <f t="shared" si="42"/>
        <v>268.39685058071603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7.1794871794871797</v>
      </c>
      <c r="DO34" s="13">
        <f>IF('Données projet'!$A$166&gt;35,DO33+DN34-DW33,IF(A34&lt;'Données projet'!$A$166,$DL$205^A34,IF(A34='Données projet'!$A$166,'Données projet'!$B$166,DO33+DN34-DW33)))</f>
        <v>111.66666666666664</v>
      </c>
      <c r="DP34" s="18">
        <f>DO34*VLOOKUP('Données projet'!$B$14,Paramètres!$A$1:$I$89,3,0)*VLOOKUP('Données projet'!$B$14,Paramètres!$A$1:$I$89,5,0)</f>
        <v>74.905999999999992</v>
      </c>
      <c r="DQ34" s="14">
        <f t="shared" si="43"/>
        <v>20.886945721747871</v>
      </c>
      <c r="DR34" s="22">
        <f t="shared" si="16"/>
        <v>166.8393804653775</v>
      </c>
      <c r="DS34" s="62">
        <f t="shared" si="17"/>
        <v>460.17271379871079</v>
      </c>
      <c r="DT34" s="62">
        <f ca="1">AVERAGE(OFFSET($DS$3,0,0,'Données projet'!$E$14+1,1))-AVERAGE(OFFSET($H$3,0,0,'Données projet'!$E$14+1,1))</f>
        <v>290.46086333591074</v>
      </c>
      <c r="DU34" s="62">
        <f t="shared" si="44"/>
        <v>236.8495901994267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8.8000000000000007</v>
      </c>
      <c r="EJ34" s="13">
        <f>IF('Données projet'!$A$192&gt;35,EJ33+EI34-ER33,IF(A34&lt;'Données projet'!$A$192,$EG$205^A34,IF(A34='Données projet'!$A$192,'Données projet'!$B$192,EJ33+EI34-ER33)))</f>
        <v>154.80000000000001</v>
      </c>
      <c r="EK34" s="18">
        <f>EJ34*VLOOKUP('Données projet'!$B$15,Paramètres!$A$1:$I$89,3,0)*VLOOKUP('Données projet'!$B$15,Paramètres!$A$1:$I$89,5,0)</f>
        <v>125.57376000000002</v>
      </c>
      <c r="EL34" s="14">
        <f t="shared" si="45"/>
        <v>32.97153235129214</v>
      </c>
      <c r="EM34" s="22">
        <f t="shared" si="19"/>
        <v>276.13305084516719</v>
      </c>
      <c r="EN34" s="62">
        <f t="shared" si="20"/>
        <v>569.46638417850045</v>
      </c>
      <c r="EO34" s="62">
        <f ca="1">AVERAGE(OFFSET($EN$3,0,0,'Données projet'!$E$15+1,1))-AVERAGE(OFFSET($H$3,0,0,'Données projet'!$E$15+1,1))</f>
        <v>256.19915261735281</v>
      </c>
      <c r="EP34" s="62">
        <f t="shared" si="46"/>
        <v>297.47246687305056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14.166666666666666</v>
      </c>
      <c r="N35" s="14">
        <f>IF('Données projet'!$A$36&gt;35,N34+M35-V34,IF(A35&lt;'Données projet'!$A$36,$K$205^A35,IF(A35='Données projet'!$A$36,'Données projet'!$B$36,N34+M35-V34)))</f>
        <v>117.33333333333333</v>
      </c>
      <c r="O35" s="14">
        <f>N35*VLOOKUP('Données projet'!$B$9,Paramètres!$A$1:$I$89,3,0)*VLOOKUP('Données projet'!$B$9,Paramètres!$A$1:$I$89,5,0)</f>
        <v>100.672</v>
      </c>
      <c r="P35" s="14">
        <f t="shared" si="33"/>
        <v>27.122029824032914</v>
      </c>
      <c r="Q35" s="22">
        <f t="shared" ref="Q35:Q66" si="53">(O35+P35)*0.475*44/12</f>
        <v>222.57460194352402</v>
      </c>
      <c r="R35" s="62">
        <f t="shared" si="0"/>
        <v>515.9079352768573</v>
      </c>
      <c r="S35" s="62">
        <f ca="1">AVERAGE(OFFSET($R$3,0,0,'Données projet'!$E$9+1,1))-AVERAGE(OFFSET($H$3,0,0,'Données projet'!$E$9+1,1))</f>
        <v>446.27304516866047</v>
      </c>
      <c r="T35" s="62">
        <f t="shared" si="34"/>
        <v>230.82970731138215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15.2</v>
      </c>
      <c r="AI35" s="14">
        <f>IF('Données projet'!$A$62&gt;35,AI34+AH35-AQ34,IF(A35&lt;'Données projet'!$A$62,$AF$205^A35,IF(A35='Données projet'!$A$62,'Données projet'!$B$62,AI34+AH35-AQ34)))</f>
        <v>193.40000000000003</v>
      </c>
      <c r="AJ35" s="14">
        <f>AI35*VLOOKUP('Données projet'!$B$10,Paramètres!$A$1:$I$89,3,0)*VLOOKUP('Données projet'!$B$10,Paramètres!$A$1:$I$89,5,0)</f>
        <v>153.86904000000004</v>
      </c>
      <c r="AK35" s="14">
        <f t="shared" si="35"/>
        <v>39.456531419736123</v>
      </c>
      <c r="AL35" s="22">
        <f t="shared" si="4"/>
        <v>336.70870355604046</v>
      </c>
      <c r="AM35" s="62">
        <f t="shared" si="5"/>
        <v>630.04203688937378</v>
      </c>
      <c r="AN35" s="62">
        <f ca="1">AVERAGE(OFFSET($AM$3,0,0,'Données projet'!$E$10+1,1))-AVERAGE(OFFSET($H$3,0,0,'Données projet'!$E$10+1,1))</f>
        <v>427.78067187784063</v>
      </c>
      <c r="AO35" s="62">
        <f t="shared" si="36"/>
        <v>464.22892523825118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11.5</v>
      </c>
      <c r="BD35" s="13">
        <f>IF('Données projet'!$A$88&gt;35,BD34+BC35-BL34,IF(A35&lt;'Données projet'!$A$88,$BA$205^A35,IF(A35='Données projet'!$A$88,'Données projet'!$B$88,BD34+BC35-BL34)))</f>
        <v>166.5</v>
      </c>
      <c r="BE35" s="14">
        <f>BD35*VLOOKUP('Données projet'!$B$11,Paramètres!$A$1:$I$89,3,0)*VLOOKUP('Données projet'!$B$11,Paramètres!$A$1:$I$89,5,0)</f>
        <v>129.87</v>
      </c>
      <c r="BF35" s="14">
        <f t="shared" si="37"/>
        <v>33.966318400312318</v>
      </c>
      <c r="BG35" s="22">
        <f t="shared" si="7"/>
        <v>285.34825454721067</v>
      </c>
      <c r="BH35" s="62">
        <f t="shared" si="8"/>
        <v>578.68158788054393</v>
      </c>
      <c r="BI35" s="62">
        <f ca="1">AVERAGE(OFFSET($BH$3,0,0,'Données projet'!$E$11+1,1))-AVERAGE(OFFSET($H$3,0,0,'Données projet'!$E$11+1,1))</f>
        <v>312.09994042858187</v>
      </c>
      <c r="BJ35" s="62">
        <f t="shared" si="38"/>
        <v>283.48738729114024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12.8</v>
      </c>
      <c r="BY35" s="13">
        <f>IF('Données projet'!$A$114&gt;35,BY34+BX35-CG34,IF(A35&lt;'Données projet'!$A$114,$BV$205^A35,IF(A35='Données projet'!$A$114,'Données projet'!$B$114,BY34+BX35-CG34)))</f>
        <v>167.59999999999997</v>
      </c>
      <c r="BZ35" s="14">
        <f>BY35*VLOOKUP('Données projet'!$B$12,Paramètres!$A$1:$I$89,3,0)*VLOOKUP('Données projet'!$B$12,Paramètres!$A$1:$I$89,5,0)</f>
        <v>133.34255999999999</v>
      </c>
      <c r="CA35" s="14">
        <f t="shared" si="39"/>
        <v>34.767581918978188</v>
      </c>
      <c r="CB35" s="22">
        <f t="shared" si="10"/>
        <v>292.79183050888702</v>
      </c>
      <c r="CC35" s="62">
        <f t="shared" si="11"/>
        <v>586.12516384222033</v>
      </c>
      <c r="CD35" s="62">
        <f ca="1">AVERAGE(OFFSET($CC$3,0,0,'Données projet'!$E$12+1,1))-AVERAGE(OFFSET($H$3,0,0,'Données projet'!$E$12+1,1))</f>
        <v>370.79299728190904</v>
      </c>
      <c r="CE35" s="62">
        <f t="shared" si="40"/>
        <v>404.95703400805775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6.1538461538461551</v>
      </c>
      <c r="CT35" s="13">
        <f>IF('Données projet'!$A$140&gt;35,CT34+CS35-DB34,IF(A35&lt;'Données projet'!$A$140,$CQ$205^A35,IF(A35='Données projet'!$A$140,'Données projet'!$B$140,CT34+CS35-DB34)))</f>
        <v>98.205128205128204</v>
      </c>
      <c r="CU35" s="18">
        <f>CT35*VLOOKUP('Données projet'!$B$13,Paramètres!$A$1:$I$89,3,0)*VLOOKUP('Données projet'!$B$13,Paramètres!$A$1:$I$89,5,0)</f>
        <v>93.451999999999998</v>
      </c>
      <c r="CV35" s="14">
        <f t="shared" si="41"/>
        <v>25.395931798937337</v>
      </c>
      <c r="CW35" s="22">
        <f t="shared" si="13"/>
        <v>206.99348121648254</v>
      </c>
      <c r="CX35" s="62">
        <f t="shared" si="14"/>
        <v>500.32681454981582</v>
      </c>
      <c r="CY35" s="62">
        <f ca="1">AVERAGE(OFFSET($CX$3,0,0,'Données projet'!$E$13+1,1))-AVERAGE(OFFSET($H$3,0,0,'Données projet'!$E$13+1,1))</f>
        <v>351.34897243264044</v>
      </c>
      <c r="CZ35" s="62">
        <f t="shared" si="42"/>
        <v>268.39685058071603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7.1794871794871797</v>
      </c>
      <c r="DO35" s="13">
        <f>IF('Données projet'!$A$166&gt;35,DO34+DN35-DW34,IF(A35&lt;'Données projet'!$A$166,$DL$205^A35,IF(A35='Données projet'!$A$166,'Données projet'!$B$166,DO34+DN35-DW34)))</f>
        <v>118.84615384615383</v>
      </c>
      <c r="DP35" s="18">
        <f>DO35*VLOOKUP('Données projet'!$B$14,Paramètres!$A$1:$I$89,3,0)*VLOOKUP('Données projet'!$B$14,Paramètres!$A$1:$I$89,5,0)</f>
        <v>79.72199999999998</v>
      </c>
      <c r="DQ35" s="14">
        <f t="shared" si="43"/>
        <v>22.069197918525273</v>
      </c>
      <c r="DR35" s="22">
        <f t="shared" si="16"/>
        <v>177.2863363747648</v>
      </c>
      <c r="DS35" s="62">
        <f t="shared" si="17"/>
        <v>470.61966970809812</v>
      </c>
      <c r="DT35" s="62">
        <f ca="1">AVERAGE(OFFSET($DS$3,0,0,'Données projet'!$E$14+1,1))-AVERAGE(OFFSET($H$3,0,0,'Données projet'!$E$14+1,1))</f>
        <v>290.46086333591074</v>
      </c>
      <c r="DU35" s="62">
        <f t="shared" si="44"/>
        <v>236.8495901994267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8.8000000000000007</v>
      </c>
      <c r="EJ35" s="13">
        <f>IF('Données projet'!$A$192&gt;35,EJ34+EI35-ER34,IF(A35&lt;'Données projet'!$A$192,$EG$205^A35,IF(A35='Données projet'!$A$192,'Données projet'!$B$192,EJ34+EI35-ER34)))</f>
        <v>163.60000000000002</v>
      </c>
      <c r="EK35" s="18">
        <f>EJ35*VLOOKUP('Données projet'!$B$15,Paramètres!$A$1:$I$89,3,0)*VLOOKUP('Données projet'!$B$15,Paramètres!$A$1:$I$89,5,0)</f>
        <v>132.71232000000003</v>
      </c>
      <c r="EL35" s="14">
        <f t="shared" si="45"/>
        <v>34.622341655285041</v>
      </c>
      <c r="EM35" s="22">
        <f t="shared" si="19"/>
        <v>291.44120238295483</v>
      </c>
      <c r="EN35" s="62">
        <f t="shared" si="20"/>
        <v>584.77453571628814</v>
      </c>
      <c r="EO35" s="62">
        <f ca="1">AVERAGE(OFFSET($EN$3,0,0,'Données projet'!$E$15+1,1))-AVERAGE(OFFSET($H$3,0,0,'Données projet'!$E$15+1,1))</f>
        <v>256.19915261735281</v>
      </c>
      <c r="EP35" s="62">
        <f t="shared" si="46"/>
        <v>297.47246687305056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14.166666666666666</v>
      </c>
      <c r="N36" s="14">
        <f>IF('Données projet'!$A$36&gt;35,N35+M36-V35,IF(A36&lt;'Données projet'!$A$36,$K$205^A36,IF(A36='Données projet'!$A$36,'Données projet'!$B$36,N35+M36-V35)))</f>
        <v>131.5</v>
      </c>
      <c r="O36" s="14">
        <f>N36*VLOOKUP('Données projet'!$B$9,Paramètres!$A$1:$I$89,3,0)*VLOOKUP('Données projet'!$B$9,Paramètres!$A$1:$I$89,5,0)</f>
        <v>112.82700000000001</v>
      </c>
      <c r="P36" s="14">
        <f t="shared" si="33"/>
        <v>29.996060965411449</v>
      </c>
      <c r="Q36" s="22">
        <f t="shared" si="53"/>
        <v>248.75016451475827</v>
      </c>
      <c r="R36" s="62">
        <f t="shared" si="0"/>
        <v>542.08349784809161</v>
      </c>
      <c r="S36" s="62">
        <f ca="1">AVERAGE(OFFSET($R$3,0,0,'Données projet'!$E$9+1,1))-AVERAGE(OFFSET($H$3,0,0,'Données projet'!$E$9+1,1))</f>
        <v>446.27304516866047</v>
      </c>
      <c r="T36" s="62">
        <f t="shared" si="34"/>
        <v>230.82970731138215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15.2</v>
      </c>
      <c r="AI36" s="14">
        <f>IF('Données projet'!$A$62&gt;35,AI35+AH36-AQ35,IF(A36&lt;'Données projet'!$A$62,$AF$205^A36,IF(A36='Données projet'!$A$62,'Données projet'!$B$62,AI35+AH36-AQ35)))</f>
        <v>208.60000000000002</v>
      </c>
      <c r="AJ36" s="14">
        <f>AI36*VLOOKUP('Données projet'!$B$10,Paramètres!$A$1:$I$89,3,0)*VLOOKUP('Données projet'!$B$10,Paramètres!$A$1:$I$89,5,0)</f>
        <v>165.96216000000001</v>
      </c>
      <c r="AK36" s="14">
        <f t="shared" si="35"/>
        <v>42.184420424142857</v>
      </c>
      <c r="AL36" s="22">
        <f t="shared" si="4"/>
        <v>362.52196090538217</v>
      </c>
      <c r="AM36" s="62">
        <f t="shared" si="5"/>
        <v>655.85529423871549</v>
      </c>
      <c r="AN36" s="62">
        <f ca="1">AVERAGE(OFFSET($AM$3,0,0,'Données projet'!$E$10+1,1))-AVERAGE(OFFSET($H$3,0,0,'Données projet'!$E$10+1,1))</f>
        <v>427.78067187784063</v>
      </c>
      <c r="AO36" s="62">
        <f t="shared" si="36"/>
        <v>464.22892523825118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11.5</v>
      </c>
      <c r="BD36" s="13">
        <f>IF('Données projet'!$A$88&gt;35,BD35+BC36-BL35,IF(A36&lt;'Données projet'!$A$88,$BA$205^A36,IF(A36='Données projet'!$A$88,'Données projet'!$B$88,BD35+BC36-BL35)))</f>
        <v>178</v>
      </c>
      <c r="BE36" s="14">
        <f>BD36*VLOOKUP('Données projet'!$B$11,Paramètres!$A$1:$I$89,3,0)*VLOOKUP('Données projet'!$B$11,Paramètres!$A$1:$I$89,5,0)</f>
        <v>138.84</v>
      </c>
      <c r="BF36" s="14">
        <f t="shared" si="37"/>
        <v>36.031137240112955</v>
      </c>
      <c r="BG36" s="22">
        <f t="shared" si="7"/>
        <v>304.56723069319668</v>
      </c>
      <c r="BH36" s="62">
        <f t="shared" si="8"/>
        <v>597.90056402652999</v>
      </c>
      <c r="BI36" s="62">
        <f ca="1">AVERAGE(OFFSET($BH$3,0,0,'Données projet'!$E$11+1,1))-AVERAGE(OFFSET($H$3,0,0,'Données projet'!$E$11+1,1))</f>
        <v>312.09994042858187</v>
      </c>
      <c r="BJ36" s="62">
        <f t="shared" si="38"/>
        <v>283.48738729114024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12.8</v>
      </c>
      <c r="BY36" s="13">
        <f>IF('Données projet'!$A$114&gt;35,BY35+BX36-CG35,IF(A36&lt;'Données projet'!$A$114,$BV$205^A36,IF(A36='Données projet'!$A$114,'Données projet'!$B$114,BY35+BX36-CG35)))</f>
        <v>180.39999999999998</v>
      </c>
      <c r="BZ36" s="14">
        <f>BY36*VLOOKUP('Données projet'!$B$12,Paramètres!$A$1:$I$89,3,0)*VLOOKUP('Données projet'!$B$12,Paramètres!$A$1:$I$89,5,0)</f>
        <v>143.52624</v>
      </c>
      <c r="CA36" s="14">
        <f t="shared" si="39"/>
        <v>37.103644337236275</v>
      </c>
      <c r="CB36" s="22">
        <f t="shared" si="10"/>
        <v>314.59704855401981</v>
      </c>
      <c r="CC36" s="62">
        <f t="shared" si="11"/>
        <v>607.93038188735318</v>
      </c>
      <c r="CD36" s="62">
        <f ca="1">AVERAGE(OFFSET($CC$3,0,0,'Données projet'!$E$12+1,1))-AVERAGE(OFFSET($H$3,0,0,'Données projet'!$E$12+1,1))</f>
        <v>370.79299728190904</v>
      </c>
      <c r="CE36" s="62">
        <f t="shared" si="40"/>
        <v>404.95703400805775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6.1538461538461551</v>
      </c>
      <c r="CT36" s="13">
        <f>IF('Données projet'!$A$140&gt;35,CT35+CS36-DB35,IF(A36&lt;'Données projet'!$A$140,$CQ$205^A36,IF(A36='Données projet'!$A$140,'Données projet'!$B$140,CT35+CS36-DB35)))</f>
        <v>104.35897435897436</v>
      </c>
      <c r="CU36" s="18">
        <f>CT36*VLOOKUP('Données projet'!$B$13,Paramètres!$A$1:$I$89,3,0)*VLOOKUP('Données projet'!$B$13,Paramètres!$A$1:$I$89,5,0)</f>
        <v>99.308000000000007</v>
      </c>
      <c r="CV36" s="14">
        <f t="shared" si="41"/>
        <v>26.797071523030599</v>
      </c>
      <c r="CW36" s="22">
        <f t="shared" si="13"/>
        <v>219.63299956927833</v>
      </c>
      <c r="CX36" s="62">
        <f t="shared" si="14"/>
        <v>512.96633290261161</v>
      </c>
      <c r="CY36" s="62">
        <f ca="1">AVERAGE(OFFSET($CX$3,0,0,'Données projet'!$E$13+1,1))-AVERAGE(OFFSET($H$3,0,0,'Données projet'!$E$13+1,1))</f>
        <v>351.34897243264044</v>
      </c>
      <c r="CZ36" s="62">
        <f t="shared" si="42"/>
        <v>268.39685058071603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7.1794871794871797</v>
      </c>
      <c r="DO36" s="13">
        <f>IF('Données projet'!$A$166&gt;35,DO35+DN36-DW35,IF(A36&lt;'Données projet'!$A$166,$DL$205^A36,IF(A36='Données projet'!$A$166,'Données projet'!$B$166,DO35+DN36-DW35)))</f>
        <v>126.02564102564101</v>
      </c>
      <c r="DP36" s="18">
        <f>DO36*VLOOKUP('Données projet'!$B$14,Paramètres!$A$1:$I$89,3,0)*VLOOKUP('Données projet'!$B$14,Paramètres!$A$1:$I$89,5,0)</f>
        <v>84.537999999999982</v>
      </c>
      <c r="DQ36" s="14">
        <f t="shared" si="43"/>
        <v>23.243160693144805</v>
      </c>
      <c r="DR36" s="22">
        <f t="shared" si="16"/>
        <v>187.71885487389383</v>
      </c>
      <c r="DS36" s="62">
        <f t="shared" si="17"/>
        <v>481.05218820722712</v>
      </c>
      <c r="DT36" s="62">
        <f ca="1">AVERAGE(OFFSET($DS$3,0,0,'Données projet'!$E$14+1,1))-AVERAGE(OFFSET($H$3,0,0,'Données projet'!$E$14+1,1))</f>
        <v>290.46086333591074</v>
      </c>
      <c r="DU36" s="62">
        <f t="shared" si="44"/>
        <v>236.8495901994267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8.8000000000000007</v>
      </c>
      <c r="EJ36" s="13">
        <f>IF('Données projet'!$A$192&gt;35,EJ35+EI36-ER35,IF(A36&lt;'Données projet'!$A$192,$EG$205^A36,IF(A36='Données projet'!$A$192,'Données projet'!$B$192,EJ35+EI36-ER35)))</f>
        <v>172.40000000000003</v>
      </c>
      <c r="EK36" s="18">
        <f>EJ36*VLOOKUP('Données projet'!$B$15,Paramètres!$A$1:$I$89,3,0)*VLOOKUP('Données projet'!$B$15,Paramètres!$A$1:$I$89,5,0)</f>
        <v>139.85088000000005</v>
      </c>
      <c r="EL36" s="14">
        <f t="shared" si="45"/>
        <v>36.262842078476233</v>
      </c>
      <c r="EM36" s="22">
        <f t="shared" si="19"/>
        <v>306.7313992866795</v>
      </c>
      <c r="EN36" s="62">
        <f t="shared" si="20"/>
        <v>600.06473262001282</v>
      </c>
      <c r="EO36" s="62">
        <f ca="1">AVERAGE(OFFSET($EN$3,0,0,'Données projet'!$E$15+1,1))-AVERAGE(OFFSET($H$3,0,0,'Données projet'!$E$15+1,1))</f>
        <v>256.19915261735281</v>
      </c>
      <c r="EP36" s="62">
        <f t="shared" si="46"/>
        <v>297.47246687305056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14.166666666666666</v>
      </c>
      <c r="N37" s="14">
        <f>IF('Données projet'!$A$36&gt;35,N36+M37-V36,IF(A37&lt;'Données projet'!$A$36,$K$205^A37,IF(A37='Données projet'!$A$36,'Données projet'!$B$36,N36+M37-V36)))</f>
        <v>145.66666666666666</v>
      </c>
      <c r="O37" s="14">
        <f>N37*VLOOKUP('Données projet'!$B$9,Paramètres!$A$1:$I$89,3,0)*VLOOKUP('Données projet'!$B$9,Paramètres!$A$1:$I$89,5,0)</f>
        <v>124.98200000000001</v>
      </c>
      <c r="P37" s="14">
        <f t="shared" si="33"/>
        <v>32.834203796212122</v>
      </c>
      <c r="Q37" s="22">
        <f t="shared" si="53"/>
        <v>274.86322161173609</v>
      </c>
      <c r="R37" s="62">
        <f t="shared" si="0"/>
        <v>568.19655494506947</v>
      </c>
      <c r="S37" s="62">
        <f ca="1">AVERAGE(OFFSET($R$3,0,0,'Données projet'!$E$9+1,1))-AVERAGE(OFFSET($H$3,0,0,'Données projet'!$E$9+1,1))</f>
        <v>446.27304516866047</v>
      </c>
      <c r="T37" s="62">
        <f t="shared" si="34"/>
        <v>230.82970731138215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15.2</v>
      </c>
      <c r="AI37" s="14">
        <f>IF('Données projet'!$A$62&gt;35,AI36+AH37-AQ36,IF(A37&lt;'Données projet'!$A$62,$AF$205^A37,IF(A37='Données projet'!$A$62,'Données projet'!$B$62,AI36+AH37-AQ36)))</f>
        <v>223.8</v>
      </c>
      <c r="AJ37" s="14">
        <f>AI37*VLOOKUP('Données projet'!$B$10,Paramètres!$A$1:$I$89,3,0)*VLOOKUP('Données projet'!$B$10,Paramètres!$A$1:$I$89,5,0)</f>
        <v>178.05528000000001</v>
      </c>
      <c r="AK37" s="14">
        <f t="shared" si="35"/>
        <v>44.889248639558041</v>
      </c>
      <c r="AL37" s="22">
        <f t="shared" si="4"/>
        <v>388.29505404723028</v>
      </c>
      <c r="AM37" s="62">
        <f t="shared" si="5"/>
        <v>681.62838738056359</v>
      </c>
      <c r="AN37" s="62">
        <f ca="1">AVERAGE(OFFSET($AM$3,0,0,'Données projet'!$E$10+1,1))-AVERAGE(OFFSET($H$3,0,0,'Données projet'!$E$10+1,1))</f>
        <v>427.78067187784063</v>
      </c>
      <c r="AO37" s="62">
        <f t="shared" si="36"/>
        <v>464.22892523825118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11.5</v>
      </c>
      <c r="BD37" s="13">
        <f>IF('Données projet'!$A$88&gt;35,BD36+BC37-BL36,IF(A37&lt;'Données projet'!$A$88,$BA$205^A37,IF(A37='Données projet'!$A$88,'Données projet'!$B$88,BD36+BC37-BL36)))</f>
        <v>189.5</v>
      </c>
      <c r="BE37" s="14">
        <f>BD37*VLOOKUP('Données projet'!$B$11,Paramètres!$A$1:$I$89,3,0)*VLOOKUP('Données projet'!$B$11,Paramètres!$A$1:$I$89,5,0)</f>
        <v>147.81</v>
      </c>
      <c r="BF37" s="14">
        <f t="shared" si="37"/>
        <v>38.080475053580983</v>
      </c>
      <c r="BG37" s="22">
        <f t="shared" si="7"/>
        <v>323.75924405165352</v>
      </c>
      <c r="BH37" s="62">
        <f t="shared" si="8"/>
        <v>617.09257738498684</v>
      </c>
      <c r="BI37" s="62">
        <f ca="1">AVERAGE(OFFSET($BH$3,0,0,'Données projet'!$E$11+1,1))-AVERAGE(OFFSET($H$3,0,0,'Données projet'!$E$11+1,1))</f>
        <v>312.09994042858187</v>
      </c>
      <c r="BJ37" s="62">
        <f t="shared" si="38"/>
        <v>283.48738729114024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12.8</v>
      </c>
      <c r="BY37" s="13">
        <f>IF('Données projet'!$A$114&gt;35,BY36+BX37-CG36,IF(A37&lt;'Données projet'!$A$114,$BV$205^A37,IF(A37='Données projet'!$A$114,'Données projet'!$B$114,BY36+BX37-CG36)))</f>
        <v>193.2</v>
      </c>
      <c r="BZ37" s="14">
        <f>BY37*VLOOKUP('Données projet'!$B$12,Paramètres!$A$1:$I$89,3,0)*VLOOKUP('Données projet'!$B$12,Paramètres!$A$1:$I$89,5,0)</f>
        <v>153.70992000000001</v>
      </c>
      <c r="CA37" s="14">
        <f t="shared" si="39"/>
        <v>39.420475690379831</v>
      </c>
      <c r="CB37" s="22">
        <f t="shared" si="10"/>
        <v>336.3687724940782</v>
      </c>
      <c r="CC37" s="62">
        <f t="shared" si="11"/>
        <v>629.70210582741151</v>
      </c>
      <c r="CD37" s="62">
        <f ca="1">AVERAGE(OFFSET($CC$3,0,0,'Données projet'!$E$12+1,1))-AVERAGE(OFFSET($H$3,0,0,'Données projet'!$E$12+1,1))</f>
        <v>370.79299728190904</v>
      </c>
      <c r="CE37" s="62">
        <f t="shared" si="40"/>
        <v>404.95703400805775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6.1538461538461551</v>
      </c>
      <c r="CT37" s="13">
        <f>IF('Données projet'!$A$140&gt;35,CT36+CS37-DB36,IF(A37&lt;'Données projet'!$A$140,$CQ$205^A37,IF(A37='Données projet'!$A$140,'Données projet'!$B$140,CT36+CS37-DB36)))</f>
        <v>110.51282051282053</v>
      </c>
      <c r="CU37" s="18">
        <f>CT37*VLOOKUP('Données projet'!$B$13,Paramètres!$A$1:$I$89,3,0)*VLOOKUP('Données projet'!$B$13,Paramètres!$A$1:$I$89,5,0)</f>
        <v>105.16400000000002</v>
      </c>
      <c r="CV37" s="14">
        <f t="shared" si="41"/>
        <v>28.188621053634016</v>
      </c>
      <c r="CW37" s="22">
        <f t="shared" si="13"/>
        <v>232.2558150017459</v>
      </c>
      <c r="CX37" s="62">
        <f t="shared" si="14"/>
        <v>525.58914833507924</v>
      </c>
      <c r="CY37" s="62">
        <f ca="1">AVERAGE(OFFSET($CX$3,0,0,'Données projet'!$E$13+1,1))-AVERAGE(OFFSET($H$3,0,0,'Données projet'!$E$13+1,1))</f>
        <v>351.34897243264044</v>
      </c>
      <c r="CZ37" s="62">
        <f t="shared" si="42"/>
        <v>268.39685058071603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7.1794871794871797</v>
      </c>
      <c r="DO37" s="13">
        <f>IF('Données projet'!$A$166&gt;35,DO36+DN37-DW36,IF(A37&lt;'Données projet'!$A$166,$DL$205^A37,IF(A37='Données projet'!$A$166,'Données projet'!$B$166,DO36+DN37-DW36)))</f>
        <v>133.20512820512818</v>
      </c>
      <c r="DP37" s="18">
        <f>DO37*VLOOKUP('Données projet'!$B$14,Paramètres!$A$1:$I$89,3,0)*VLOOKUP('Données projet'!$B$14,Paramètres!$A$1:$I$89,5,0)</f>
        <v>89.353999999999985</v>
      </c>
      <c r="DQ37" s="14">
        <f t="shared" si="43"/>
        <v>24.40936009026365</v>
      </c>
      <c r="DR37" s="22">
        <f t="shared" si="16"/>
        <v>198.13785215720915</v>
      </c>
      <c r="DS37" s="62">
        <f t="shared" si="17"/>
        <v>491.47118549054244</v>
      </c>
      <c r="DT37" s="62">
        <f ca="1">AVERAGE(OFFSET($DS$3,0,0,'Données projet'!$E$14+1,1))-AVERAGE(OFFSET($H$3,0,0,'Données projet'!$E$14+1,1))</f>
        <v>290.46086333591074</v>
      </c>
      <c r="DU37" s="62">
        <f t="shared" si="44"/>
        <v>236.8495901994267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8.8000000000000007</v>
      </c>
      <c r="EJ37" s="13">
        <f>IF('Données projet'!$A$192&gt;35,EJ36+EI37-ER36,IF(A37&lt;'Données projet'!$A$192,$EG$205^A37,IF(A37='Données projet'!$A$192,'Données projet'!$B$192,EJ36+EI37-ER36)))</f>
        <v>181.20000000000005</v>
      </c>
      <c r="EK37" s="18">
        <f>EJ37*VLOOKUP('Données projet'!$B$15,Paramètres!$A$1:$I$89,3,0)*VLOOKUP('Données projet'!$B$15,Paramètres!$A$1:$I$89,5,0)</f>
        <v>146.98944000000006</v>
      </c>
      <c r="EL37" s="14">
        <f t="shared" si="45"/>
        <v>37.893619858723746</v>
      </c>
      <c r="EM37" s="22">
        <f t="shared" si="19"/>
        <v>322.00466258727732</v>
      </c>
      <c r="EN37" s="62">
        <f t="shared" si="20"/>
        <v>615.33799592061064</v>
      </c>
      <c r="EO37" s="62">
        <f ca="1">AVERAGE(OFFSET($EN$3,0,0,'Données projet'!$E$15+1,1))-AVERAGE(OFFSET($H$3,0,0,'Données projet'!$E$15+1,1))</f>
        <v>256.19915261735281</v>
      </c>
      <c r="EP37" s="62">
        <f t="shared" si="46"/>
        <v>297.47246687305056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14.166666666666666</v>
      </c>
      <c r="N38" s="14">
        <f>IF('Données projet'!$A$36&gt;35,N37+M38-V37,IF(A38&lt;'Données projet'!$A$36,$K$205^A38,IF(A38='Données projet'!$A$36,'Données projet'!$B$36,N37+M38-V37)))</f>
        <v>159.83333333333331</v>
      </c>
      <c r="O38" s="14">
        <f>N38*VLOOKUP('Données projet'!$B$9,Paramètres!$A$1:$I$89,3,0)*VLOOKUP('Données projet'!$B$9,Paramètres!$A$1:$I$89,5,0)</f>
        <v>137.137</v>
      </c>
      <c r="P38" s="14">
        <f t="shared" si="33"/>
        <v>35.64034577929781</v>
      </c>
      <c r="Q38" s="22">
        <f t="shared" si="53"/>
        <v>300.92054389894366</v>
      </c>
      <c r="R38" s="62">
        <f t="shared" si="0"/>
        <v>594.25387723227698</v>
      </c>
      <c r="S38" s="62">
        <f ca="1">AVERAGE(OFFSET($R$3,0,0,'Données projet'!$E$9+1,1))-AVERAGE(OFFSET($H$3,0,0,'Données projet'!$E$9+1,1))</f>
        <v>446.27304516866047</v>
      </c>
      <c r="T38" s="62">
        <f t="shared" si="34"/>
        <v>230.82970731138215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239</v>
      </c>
      <c r="AG38" s="13">
        <f>VLOOKUP(A38,'Données projet'!$A$61:$I$81,9,0)</f>
        <v>15.2</v>
      </c>
      <c r="AH38" s="13">
        <f t="array" ref="AH38">INDEX(AG:AG,MIN(IF(ISNUMBER(AG38:AG234),ROW(AG38:AG234),"")))</f>
        <v>15.2</v>
      </c>
      <c r="AI38" s="14">
        <f>IF('Données projet'!$A$62&gt;35,AI37+AH38-AQ37,IF(A38&lt;'Données projet'!$A$62,$AF$205^A38,IF(A38='Données projet'!$A$62,'Données projet'!$B$62,AI37+AH38-AQ37)))</f>
        <v>239</v>
      </c>
      <c r="AJ38" s="14">
        <f>AI38*VLOOKUP('Données projet'!$B$10,Paramètres!$A$1:$I$89,3,0)*VLOOKUP('Données projet'!$B$10,Paramètres!$A$1:$I$89,5,0)</f>
        <v>190.14840000000001</v>
      </c>
      <c r="AK38" s="14">
        <f t="shared" si="35"/>
        <v>47.572760493232991</v>
      </c>
      <c r="AL38" s="22">
        <f t="shared" si="4"/>
        <v>414.03102119238082</v>
      </c>
      <c r="AM38" s="62">
        <f t="shared" si="5"/>
        <v>707.36435452571413</v>
      </c>
      <c r="AN38" s="62">
        <f ca="1">AVERAGE(OFFSET($AM$3,0,0,'Données projet'!$E$10+1,1))-AVERAGE(OFFSET($H$3,0,0,'Données projet'!$E$10+1,1))</f>
        <v>427.78067187784063</v>
      </c>
      <c r="AO38" s="62">
        <f t="shared" si="36"/>
        <v>464.22892523825118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11.5</v>
      </c>
      <c r="BD38" s="13">
        <f>IF('Données projet'!$A$88&gt;35,BD37+BC38-BL37,IF(A38&lt;'Données projet'!$A$88,$BA$205^A38,IF(A38='Données projet'!$A$88,'Données projet'!$B$88,BD37+BC38-BL37)))</f>
        <v>201</v>
      </c>
      <c r="BE38" s="14">
        <f>BD38*VLOOKUP('Données projet'!$B$11,Paramètres!$A$1:$I$89,3,0)*VLOOKUP('Données projet'!$B$11,Paramètres!$A$1:$I$89,5,0)</f>
        <v>156.78</v>
      </c>
      <c r="BF38" s="14">
        <f t="shared" si="37"/>
        <v>40.115378305457973</v>
      </c>
      <c r="BG38" s="22">
        <f t="shared" si="7"/>
        <v>342.92611721533927</v>
      </c>
      <c r="BH38" s="62">
        <f t="shared" si="8"/>
        <v>636.25945054867259</v>
      </c>
      <c r="BI38" s="62">
        <f ca="1">AVERAGE(OFFSET($BH$3,0,0,'Données projet'!$E$11+1,1))-AVERAGE(OFFSET($H$3,0,0,'Données projet'!$E$11+1,1))</f>
        <v>312.09994042858187</v>
      </c>
      <c r="BJ38" s="62">
        <f t="shared" si="38"/>
        <v>283.48738729114024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206</v>
      </c>
      <c r="BW38" s="13">
        <f>VLOOKUP(A38,'Données projet'!$A$113:$I$133,9,0)</f>
        <v>12.8</v>
      </c>
      <c r="BX38" s="13">
        <f t="array" ref="BX38">INDEX(BW:BW,MIN(IF(ISNUMBER(BW38:BW234),ROW(BW38:BW234),"")))</f>
        <v>12.8</v>
      </c>
      <c r="BY38" s="13">
        <f>IF('Données projet'!$A$114&gt;35,BY37+BX38-CG37,IF(A38&lt;'Données projet'!$A$114,$BV$205^A38,IF(A38='Données projet'!$A$114,'Données projet'!$B$114,BY37+BX38-CG37)))</f>
        <v>206</v>
      </c>
      <c r="BZ38" s="14">
        <f>BY38*VLOOKUP('Données projet'!$B$12,Paramètres!$A$1:$I$89,3,0)*VLOOKUP('Données projet'!$B$12,Paramètres!$A$1:$I$89,5,0)</f>
        <v>163.89360000000002</v>
      </c>
      <c r="CA38" s="14">
        <f t="shared" si="39"/>
        <v>41.71949506642347</v>
      </c>
      <c r="CB38" s="22">
        <f t="shared" si="10"/>
        <v>358.10947390735419</v>
      </c>
      <c r="CC38" s="62">
        <f t="shared" si="11"/>
        <v>651.44280724068744</v>
      </c>
      <c r="CD38" s="62">
        <f ca="1">AVERAGE(OFFSET($CC$3,0,0,'Données projet'!$E$12+1,1))-AVERAGE(OFFSET($H$3,0,0,'Données projet'!$E$12+1,1))</f>
        <v>370.79299728190904</v>
      </c>
      <c r="CE38" s="62">
        <f t="shared" si="40"/>
        <v>404.95703400805775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116.66666666666666</v>
      </c>
      <c r="CR38" s="13">
        <f>VLOOKUP(A38,'Données projet'!$A$139:$I$159,9,0)</f>
        <v>6.1538461538461551</v>
      </c>
      <c r="CS38" s="13">
        <f t="array" ref="CS38">INDEX(CR:CR,MIN(IF(ISNUMBER(CR38:CR234),ROW(CR38:CR234),"")))</f>
        <v>6.1538461538461551</v>
      </c>
      <c r="CT38" s="13">
        <f>IF('Données projet'!$A$140&gt;35,CT37+CS38-DB37,IF(A38&lt;'Données projet'!$A$140,$CQ$205^A38,IF(A38='Données projet'!$A$140,'Données projet'!$B$140,CT37+CS38-DB37)))</f>
        <v>116.66666666666669</v>
      </c>
      <c r="CU38" s="18">
        <f>CT38*VLOOKUP('Données projet'!$B$13,Paramètres!$A$1:$I$89,3,0)*VLOOKUP('Données projet'!$B$13,Paramètres!$A$1:$I$89,5,0)</f>
        <v>111.02000000000001</v>
      </c>
      <c r="CV38" s="14">
        <f t="shared" si="41"/>
        <v>29.571175279490561</v>
      </c>
      <c r="CW38" s="22">
        <f t="shared" si="13"/>
        <v>244.86296361177941</v>
      </c>
      <c r="CX38" s="62">
        <f t="shared" si="14"/>
        <v>538.19629694511275</v>
      </c>
      <c r="CY38" s="62">
        <f ca="1">AVERAGE(OFFSET($CX$3,0,0,'Données projet'!$E$13+1,1))-AVERAGE(OFFSET($H$3,0,0,'Données projet'!$E$13+1,1))</f>
        <v>351.34897243264044</v>
      </c>
      <c r="CZ38" s="62">
        <f t="shared" si="42"/>
        <v>268.39685058071603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140.38461538461539</v>
      </c>
      <c r="DM38" s="13">
        <f>VLOOKUP(A38,'Données projet'!$A$165:$I$185,9,0)</f>
        <v>7.1794871794871797</v>
      </c>
      <c r="DN38" s="13">
        <f t="array" ref="DN38">INDEX(DM:DM,MIN(IF(ISNUMBER(DM38:DM234),ROW(DM38:DM234),"")))</f>
        <v>7.1794871794871797</v>
      </c>
      <c r="DO38" s="13">
        <f>IF('Données projet'!$A$166&gt;35,DO37+DN38-DW37,IF(A38&lt;'Données projet'!$A$166,$DL$205^A38,IF(A38='Données projet'!$A$166,'Données projet'!$B$166,DO37+DN38-DW37)))</f>
        <v>140.38461538461536</v>
      </c>
      <c r="DP38" s="18">
        <f>DO38*VLOOKUP('Données projet'!$B$14,Paramètres!$A$1:$I$89,3,0)*VLOOKUP('Données projet'!$B$14,Paramètres!$A$1:$I$89,5,0)</f>
        <v>94.169999999999987</v>
      </c>
      <c r="DQ38" s="14">
        <f t="shared" si="43"/>
        <v>25.568262246433882</v>
      </c>
      <c r="DR38" s="22">
        <f t="shared" si="16"/>
        <v>208.54414007920562</v>
      </c>
      <c r="DS38" s="62">
        <f t="shared" si="17"/>
        <v>501.87747341253896</v>
      </c>
      <c r="DT38" s="62">
        <f ca="1">AVERAGE(OFFSET($DS$3,0,0,'Données projet'!$E$14+1,1))-AVERAGE(OFFSET($H$3,0,0,'Données projet'!$E$14+1,1))</f>
        <v>290.46086333591074</v>
      </c>
      <c r="DU38" s="62">
        <f t="shared" si="44"/>
        <v>236.8495901994267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190</v>
      </c>
      <c r="EH38" s="13">
        <f>VLOOKUP(A38,'Données projet'!$A$191:$I$211,9,0)</f>
        <v>8.8000000000000007</v>
      </c>
      <c r="EI38" s="13">
        <f t="array" ref="EI38">INDEX(EH:EH,MIN(IF(ISNUMBER(EH38:EH234),ROW(EH38:EH234),"")))</f>
        <v>8.8000000000000007</v>
      </c>
      <c r="EJ38" s="13">
        <f>IF('Données projet'!$A$192&gt;35,EJ37+EI38-ER37,IF(A38&lt;'Données projet'!$A$192,$EG$205^A38,IF(A38='Données projet'!$A$192,'Données projet'!$B$192,EJ37+EI38-ER37)))</f>
        <v>190.00000000000006</v>
      </c>
      <c r="EK38" s="18">
        <f>EJ38*VLOOKUP('Données projet'!$B$15,Paramètres!$A$1:$I$89,3,0)*VLOOKUP('Données projet'!$B$15,Paramètres!$A$1:$I$89,5,0)</f>
        <v>154.12800000000007</v>
      </c>
      <c r="EL38" s="14">
        <f t="shared" si="45"/>
        <v>39.51520107536119</v>
      </c>
      <c r="EM38" s="22">
        <f t="shared" si="19"/>
        <v>337.26190853958752</v>
      </c>
      <c r="EN38" s="62">
        <f t="shared" si="20"/>
        <v>630.59524187292084</v>
      </c>
      <c r="EO38" s="62">
        <f ca="1">AVERAGE(OFFSET($EN$3,0,0,'Données projet'!$E$15+1,1))-AVERAGE(OFFSET($H$3,0,0,'Données projet'!$E$15+1,1))</f>
        <v>256.19915261735281</v>
      </c>
      <c r="EP38" s="62">
        <f t="shared" si="46"/>
        <v>297.47246687305056</v>
      </c>
      <c r="EQ38" s="16">
        <f>IF(ISNA(VLOOKUP(A38,'Données projet'!$A$191:$I$211,3,0)),0,VLOOKUP(A38,'Données projet'!$A$191:$I$211,3,0))</f>
        <v>2</v>
      </c>
      <c r="ER38" s="16">
        <f>IF(ISNA(VLOOKUP(A38,'Données projet'!$A$191:$I$211,4,0)),0,VLOOKUP(A38,'Données projet'!$A$191:$I$211,4,0))</f>
        <v>76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>
        <f>VLOOKUP(A39,'Données projet'!$A$35:$I$55,2,0)</f>
        <v>174</v>
      </c>
      <c r="L39" s="13">
        <f>VLOOKUP(A39,'Données projet'!$A$35:$I$55,9,0)</f>
        <v>14.166666666666666</v>
      </c>
      <c r="M39" s="13">
        <f t="array" ref="M39">INDEX(L:L,MIN(IF(ISNUMBER(L39:L235),ROW(L39:L235),"")))</f>
        <v>14.166666666666666</v>
      </c>
      <c r="N39" s="14">
        <f>IF('Données projet'!$A$36&gt;35,N38+M39-V38,IF(A39&lt;'Données projet'!$A$36,$K$205^A39,IF(A39='Données projet'!$A$36,'Données projet'!$B$36,N38+M39-V38)))</f>
        <v>173.99999999999997</v>
      </c>
      <c r="O39" s="14">
        <f>N39*VLOOKUP('Données projet'!$B$9,Paramètres!$A$1:$I$89,3,0)*VLOOKUP('Données projet'!$B$9,Paramètres!$A$1:$I$89,5,0)</f>
        <v>149.29199999999997</v>
      </c>
      <c r="P39" s="14">
        <f t="shared" si="33"/>
        <v>38.417645803815411</v>
      </c>
      <c r="Q39" s="22">
        <f t="shared" si="53"/>
        <v>326.9276331083118</v>
      </c>
      <c r="R39" s="62">
        <f t="shared" si="0"/>
        <v>620.26096644164511</v>
      </c>
      <c r="S39" s="62">
        <f ca="1">AVERAGE(OFFSET($R$3,0,0,'Données projet'!$E$9+1,1))-AVERAGE(OFFSET($H$3,0,0,'Données projet'!$E$9+1,1))</f>
        <v>446.27304516866047</v>
      </c>
      <c r="T39" s="62">
        <f t="shared" si="34"/>
        <v>230.82970731138215</v>
      </c>
      <c r="U39" s="16">
        <f>IF(ISNA(VLOOKUP(A39,'Données projet'!$A$35:$I$55,3,0)),0,VLOOKUP(A39,'Données projet'!$A$35:$I$55,3,0))</f>
        <v>3</v>
      </c>
      <c r="V39" s="16">
        <f>IF(ISNA(VLOOKUP(A39,'Données projet'!$A$35:$I$55,4,0)),0,VLOOKUP(A39,'Données projet'!$A$35:$I$55,4,0))</f>
        <v>60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13.2</v>
      </c>
      <c r="AI39" s="14">
        <f>IF('Données projet'!$A$62&gt;35,AI38+AH39-AQ38,IF(A39&lt;'Données projet'!$A$62,$AF$205^A39,IF(A39='Données projet'!$A$62,'Données projet'!$B$62,AI38+AH39-AQ38)))</f>
        <v>252.2</v>
      </c>
      <c r="AJ39" s="14">
        <f>AI39*VLOOKUP('Données projet'!$B$10,Paramètres!$A$1:$I$89,3,0)*VLOOKUP('Données projet'!$B$10,Paramètres!$A$1:$I$89,5,0)</f>
        <v>200.65031999999999</v>
      </c>
      <c r="AK39" s="14">
        <f t="shared" si="35"/>
        <v>49.88706136407562</v>
      </c>
      <c r="AL39" s="22">
        <f t="shared" si="4"/>
        <v>436.35260587576499</v>
      </c>
      <c r="AM39" s="62">
        <f t="shared" si="5"/>
        <v>729.68593920909825</v>
      </c>
      <c r="AN39" s="62">
        <f ca="1">AVERAGE(OFFSET($AM$3,0,0,'Données projet'!$E$10+1,1))-AVERAGE(OFFSET($H$3,0,0,'Données projet'!$E$10+1,1))</f>
        <v>427.78067187784063</v>
      </c>
      <c r="AO39" s="62">
        <f t="shared" si="36"/>
        <v>464.22892523825118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11.5</v>
      </c>
      <c r="BD39" s="13">
        <f>IF('Données projet'!$A$88&gt;35,BD38+BC39-BL38,IF(A39&lt;'Données projet'!$A$88,$BA$205^A39,IF(A39='Données projet'!$A$88,'Données projet'!$B$88,BD38+BC39-BL38)))</f>
        <v>212.5</v>
      </c>
      <c r="BE39" s="14">
        <f>BD39*VLOOKUP('Données projet'!$B$11,Paramètres!$A$1:$I$89,3,0)*VLOOKUP('Données projet'!$B$11,Paramètres!$A$1:$I$89,5,0)</f>
        <v>165.75</v>
      </c>
      <c r="BF39" s="14">
        <f t="shared" si="37"/>
        <v>42.136766952193248</v>
      </c>
      <c r="BG39" s="22">
        <f t="shared" si="7"/>
        <v>362.06945244173653</v>
      </c>
      <c r="BH39" s="62">
        <f t="shared" si="8"/>
        <v>655.40278577506979</v>
      </c>
      <c r="BI39" s="62">
        <f ca="1">AVERAGE(OFFSET($BH$3,0,0,'Données projet'!$E$11+1,1))-AVERAGE(OFFSET($H$3,0,0,'Données projet'!$E$11+1,1))</f>
        <v>312.09994042858187</v>
      </c>
      <c r="BJ39" s="62">
        <f t="shared" si="38"/>
        <v>283.48738729114024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11.4</v>
      </c>
      <c r="BY39" s="13">
        <f>IF('Données projet'!$A$114&gt;35,BY38+BX39-CG38,IF(A39&lt;'Données projet'!$A$114,$BV$205^A39,IF(A39='Données projet'!$A$114,'Données projet'!$B$114,BY38+BX39-CG38)))</f>
        <v>217.4</v>
      </c>
      <c r="BZ39" s="14">
        <f>BY39*VLOOKUP('Données projet'!$B$12,Paramètres!$A$1:$I$89,3,0)*VLOOKUP('Données projet'!$B$12,Paramètres!$A$1:$I$89,5,0)</f>
        <v>172.96344000000002</v>
      </c>
      <c r="CA39" s="14">
        <f t="shared" si="39"/>
        <v>43.753066528893434</v>
      </c>
      <c r="CB39" s="22">
        <f t="shared" si="10"/>
        <v>377.44791553782278</v>
      </c>
      <c r="CC39" s="62">
        <f t="shared" si="11"/>
        <v>670.78124887115609</v>
      </c>
      <c r="CD39" s="62">
        <f ca="1">AVERAGE(OFFSET($CC$3,0,0,'Données projet'!$E$12+1,1))-AVERAGE(OFFSET($H$3,0,0,'Données projet'!$E$12+1,1))</f>
        <v>370.79299728190904</v>
      </c>
      <c r="CE39" s="62">
        <f t="shared" si="40"/>
        <v>404.95703400805775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5.7692307692307683</v>
      </c>
      <c r="CT39" s="13">
        <f>IF('Données projet'!$A$140&gt;35,CT38+CS39-DB38,IF(A39&lt;'Données projet'!$A$140,$CQ$205^A39,IF(A39='Données projet'!$A$140,'Données projet'!$B$140,CT38+CS39-DB38)))</f>
        <v>122.43589743589746</v>
      </c>
      <c r="CU39" s="18">
        <f>CT39*VLOOKUP('Données projet'!$B$13,Paramètres!$A$1:$I$89,3,0)*VLOOKUP('Données projet'!$B$13,Paramètres!$A$1:$I$89,5,0)</f>
        <v>116.51000000000002</v>
      </c>
      <c r="CV39" s="14">
        <f t="shared" si="41"/>
        <v>30.859621169021747</v>
      </c>
      <c r="CW39" s="22">
        <f t="shared" si="13"/>
        <v>256.66875686937959</v>
      </c>
      <c r="CX39" s="62">
        <f t="shared" si="14"/>
        <v>550.00209020271291</v>
      </c>
      <c r="CY39" s="62">
        <f ca="1">AVERAGE(OFFSET($CX$3,0,0,'Données projet'!$E$13+1,1))-AVERAGE(OFFSET($H$3,0,0,'Données projet'!$E$13+1,1))</f>
        <v>351.34897243264044</v>
      </c>
      <c r="CZ39" s="62">
        <f t="shared" si="42"/>
        <v>268.39685058071603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6.9230769230769225</v>
      </c>
      <c r="DO39" s="13">
        <f>IF('Données projet'!$A$166&gt;35,DO38+DN39-DW38,IF(A39&lt;'Données projet'!$A$166,$DL$205^A39,IF(A39='Données projet'!$A$166,'Données projet'!$B$166,DO38+DN39-DW38)))</f>
        <v>147.30769230769229</v>
      </c>
      <c r="DP39" s="18">
        <f>DO39*VLOOKUP('Données projet'!$B$14,Paramètres!$A$1:$I$89,3,0)*VLOOKUP('Données projet'!$B$14,Paramètres!$A$1:$I$89,5,0)</f>
        <v>98.813999999999993</v>
      </c>
      <c r="DQ39" s="14">
        <f t="shared" si="43"/>
        <v>26.679253507264274</v>
      </c>
      <c r="DR39" s="22">
        <f t="shared" si="16"/>
        <v>218.56741652515191</v>
      </c>
      <c r="DS39" s="62">
        <f t="shared" si="17"/>
        <v>511.90074985848526</v>
      </c>
      <c r="DT39" s="62">
        <f ca="1">AVERAGE(OFFSET($DS$3,0,0,'Données projet'!$E$14+1,1))-AVERAGE(OFFSET($H$3,0,0,'Données projet'!$E$14+1,1))</f>
        <v>290.46086333591074</v>
      </c>
      <c r="DU39" s="62">
        <f t="shared" si="44"/>
        <v>236.8495901994267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7.6</v>
      </c>
      <c r="EJ39" s="13">
        <f>IF('Données projet'!$A$192&gt;35,EJ38+EI39-ER38,IF(A39&lt;'Données projet'!$A$192,$EG$205^A39,IF(A39='Données projet'!$A$192,'Données projet'!$B$192,EJ38+EI39-ER38)))</f>
        <v>121.60000000000005</v>
      </c>
      <c r="EK39" s="18">
        <f>EJ39*VLOOKUP('Données projet'!$B$15,Paramètres!$A$1:$I$89,3,0)*VLOOKUP('Données projet'!$B$15,Paramètres!$A$1:$I$89,5,0)</f>
        <v>98.641920000000042</v>
      </c>
      <c r="EL39" s="14">
        <f t="shared" si="45"/>
        <v>26.638196684151392</v>
      </c>
      <c r="EM39" s="22">
        <f t="shared" si="19"/>
        <v>218.19620322489709</v>
      </c>
      <c r="EN39" s="62">
        <f t="shared" si="20"/>
        <v>511.5295365582304</v>
      </c>
      <c r="EO39" s="62">
        <f ca="1">AVERAGE(OFFSET($EN$3,0,0,'Données projet'!$E$15+1,1))-AVERAGE(OFFSET($H$3,0,0,'Données projet'!$E$15+1,1))</f>
        <v>256.19915261735281</v>
      </c>
      <c r="EP39" s="62">
        <f t="shared" si="46"/>
        <v>297.47246687305056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15.166666666666666</v>
      </c>
      <c r="N40" s="14">
        <f>IF('Données projet'!$A$36&gt;35,N39+M40-V39,IF(A40&lt;'Données projet'!$A$36,$K$205^A40,IF(A40='Données projet'!$A$36,'Données projet'!$B$36,N39+M40-V39)))</f>
        <v>129.16666666666663</v>
      </c>
      <c r="O40" s="14">
        <f>N40*VLOOKUP('Données projet'!$B$9,Paramètres!$A$1:$I$89,3,0)*VLOOKUP('Données projet'!$B$9,Paramètres!$A$1:$I$89,5,0)</f>
        <v>110.82499999999999</v>
      </c>
      <c r="P40" s="14">
        <f t="shared" si="33"/>
        <v>29.525276397875576</v>
      </c>
      <c r="Q40" s="22">
        <f t="shared" si="53"/>
        <v>244.44339805963327</v>
      </c>
      <c r="R40" s="62">
        <f t="shared" si="0"/>
        <v>537.77673139296655</v>
      </c>
      <c r="S40" s="62">
        <f ca="1">AVERAGE(OFFSET($R$3,0,0,'Données projet'!$E$9+1,1))-AVERAGE(OFFSET($H$3,0,0,'Données projet'!$E$9+1,1))</f>
        <v>446.27304516866047</v>
      </c>
      <c r="T40" s="62">
        <f t="shared" si="34"/>
        <v>230.82970731138215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13.2</v>
      </c>
      <c r="AI40" s="14">
        <f>IF('Données projet'!$A$62&gt;35,AI39+AH40-AQ39,IF(A40&lt;'Données projet'!$A$62,$AF$205^A40,IF(A40='Données projet'!$A$62,'Données projet'!$B$62,AI39+AH40-AQ39)))</f>
        <v>265.39999999999998</v>
      </c>
      <c r="AJ40" s="14">
        <f>AI40*VLOOKUP('Données projet'!$B$10,Paramètres!$A$1:$I$89,3,0)*VLOOKUP('Données projet'!$B$10,Paramètres!$A$1:$I$89,5,0)</f>
        <v>211.15223999999998</v>
      </c>
      <c r="AK40" s="14">
        <f t="shared" si="35"/>
        <v>52.187298885462759</v>
      </c>
      <c r="AL40" s="22">
        <f t="shared" si="4"/>
        <v>458.64969689218088</v>
      </c>
      <c r="AM40" s="62">
        <f t="shared" si="5"/>
        <v>751.9830302255142</v>
      </c>
      <c r="AN40" s="62">
        <f ca="1">AVERAGE(OFFSET($AM$3,0,0,'Données projet'!$E$10+1,1))-AVERAGE(OFFSET($H$3,0,0,'Données projet'!$E$10+1,1))</f>
        <v>427.78067187784063</v>
      </c>
      <c r="AO40" s="62">
        <f t="shared" si="36"/>
        <v>464.22892523825118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>
        <f>VLOOKUP(A40,'Données projet'!$A$87:$I$107,2,0)</f>
        <v>224</v>
      </c>
      <c r="BB40" s="13">
        <f>VLOOKUP(A40,'Données projet'!$A$87:$I$107,9,0)</f>
        <v>11.5</v>
      </c>
      <c r="BC40" s="13">
        <f t="array" ref="BC40">INDEX(BB:BB,MIN(IF(ISNUMBER(BB40:BB236),ROW(BB40:BB236),"")))</f>
        <v>11.5</v>
      </c>
      <c r="BD40" s="13">
        <f>IF('Données projet'!$A$88&gt;35,BD39+BC40-BL39,IF(A40&lt;'Données projet'!$A$88,$BA$205^A40,IF(A40='Données projet'!$A$88,'Données projet'!$B$88,BD39+BC40-BL39)))</f>
        <v>224</v>
      </c>
      <c r="BE40" s="14">
        <f>BD40*VLOOKUP('Données projet'!$B$11,Paramètres!$A$1:$I$89,3,0)*VLOOKUP('Données projet'!$B$11,Paramètres!$A$1:$I$89,5,0)</f>
        <v>174.72</v>
      </c>
      <c r="BF40" s="14">
        <f t="shared" si="37"/>
        <v>44.145455754865246</v>
      </c>
      <c r="BG40" s="22">
        <f t="shared" si="7"/>
        <v>381.19066877305698</v>
      </c>
      <c r="BH40" s="62">
        <f t="shared" si="8"/>
        <v>674.5240021063903</v>
      </c>
      <c r="BI40" s="62">
        <f ca="1">AVERAGE(OFFSET($BH$3,0,0,'Données projet'!$E$11+1,1))-AVERAGE(OFFSET($H$3,0,0,'Données projet'!$E$11+1,1))</f>
        <v>312.09994042858187</v>
      </c>
      <c r="BJ40" s="62">
        <f t="shared" si="38"/>
        <v>283.48738729114024</v>
      </c>
      <c r="BK40" s="16">
        <f>IF(ISNA(VLOOKUP(A40,'Données projet'!$A$87:$I$107,3,0)),0,VLOOKUP(A40,'Données projet'!$A$87:$I$107,3,0))</f>
        <v>3</v>
      </c>
      <c r="BL40" s="16">
        <f>IF(ISNA(VLOOKUP(A40,'Données projet'!$A$87:$I$107,4,0)),0,VLOOKUP(A40,'Données projet'!$A$87:$I$107,4,0))</f>
        <v>72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11.4</v>
      </c>
      <c r="BY40" s="13">
        <f>IF('Données projet'!$A$114&gt;35,BY39+BX40-CG39,IF(A40&lt;'Données projet'!$A$114,$BV$205^A40,IF(A40='Données projet'!$A$114,'Données projet'!$B$114,BY39+BX40-CG39)))</f>
        <v>228.8</v>
      </c>
      <c r="BZ40" s="14">
        <f>BY40*VLOOKUP('Données projet'!$B$12,Paramètres!$A$1:$I$89,3,0)*VLOOKUP('Données projet'!$B$12,Paramètres!$A$1:$I$89,5,0)</f>
        <v>182.03328000000002</v>
      </c>
      <c r="CA40" s="14">
        <f t="shared" si="39"/>
        <v>45.774257349740282</v>
      </c>
      <c r="CB40" s="22">
        <f t="shared" si="10"/>
        <v>396.76479421746438</v>
      </c>
      <c r="CC40" s="62">
        <f t="shared" si="11"/>
        <v>690.0981275507977</v>
      </c>
      <c r="CD40" s="62">
        <f ca="1">AVERAGE(OFFSET($CC$3,0,0,'Données projet'!$E$12+1,1))-AVERAGE(OFFSET($H$3,0,0,'Données projet'!$E$12+1,1))</f>
        <v>370.79299728190904</v>
      </c>
      <c r="CE40" s="62">
        <f t="shared" si="40"/>
        <v>404.95703400805775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5.7692307692307683</v>
      </c>
      <c r="CT40" s="13">
        <f>IF('Données projet'!$A$140&gt;35,CT39+CS40-DB39,IF(A40&lt;'Données projet'!$A$140,$CQ$205^A40,IF(A40='Données projet'!$A$140,'Données projet'!$B$140,CT39+CS40-DB39)))</f>
        <v>128.20512820512823</v>
      </c>
      <c r="CU40" s="18">
        <f>CT40*VLOOKUP('Données projet'!$B$13,Paramètres!$A$1:$I$89,3,0)*VLOOKUP('Données projet'!$B$13,Paramètres!$A$1:$I$89,5,0)</f>
        <v>122.00000000000003</v>
      </c>
      <c r="CV40" s="14">
        <f t="shared" si="41"/>
        <v>32.141016759098825</v>
      </c>
      <c r="CW40" s="22">
        <f t="shared" si="13"/>
        <v>268.46227085543052</v>
      </c>
      <c r="CX40" s="62">
        <f t="shared" si="14"/>
        <v>561.79560418876383</v>
      </c>
      <c r="CY40" s="62">
        <f ca="1">AVERAGE(OFFSET($CX$3,0,0,'Données projet'!$E$13+1,1))-AVERAGE(OFFSET($H$3,0,0,'Données projet'!$E$13+1,1))</f>
        <v>351.34897243264044</v>
      </c>
      <c r="CZ40" s="62">
        <f t="shared" si="42"/>
        <v>268.39685058071603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6.9230769230769225</v>
      </c>
      <c r="DO40" s="13">
        <f>IF('Données projet'!$A$166&gt;35,DO39+DN40-DW39,IF(A40&lt;'Données projet'!$A$166,$DL$205^A40,IF(A40='Données projet'!$A$166,'Données projet'!$B$166,DO39+DN40-DW39)))</f>
        <v>154.23076923076923</v>
      </c>
      <c r="DP40" s="18">
        <f>DO40*VLOOKUP('Données projet'!$B$14,Paramètres!$A$1:$I$89,3,0)*VLOOKUP('Données projet'!$B$14,Paramètres!$A$1:$I$89,5,0)</f>
        <v>103.45800000000001</v>
      </c>
      <c r="DQ40" s="14">
        <f t="shared" si="43"/>
        <v>27.7841813316018</v>
      </c>
      <c r="DR40" s="22">
        <f t="shared" si="16"/>
        <v>228.58013248587315</v>
      </c>
      <c r="DS40" s="62">
        <f t="shared" si="17"/>
        <v>521.91346581920652</v>
      </c>
      <c r="DT40" s="62">
        <f ca="1">AVERAGE(OFFSET($DS$3,0,0,'Données projet'!$E$14+1,1))-AVERAGE(OFFSET($H$3,0,0,'Données projet'!$E$14+1,1))</f>
        <v>290.46086333591074</v>
      </c>
      <c r="DU40" s="62">
        <f t="shared" si="44"/>
        <v>236.8495901994267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7.6</v>
      </c>
      <c r="EJ40" s="13">
        <f>IF('Données projet'!$A$192&gt;35,EJ39+EI40-ER39,IF(A40&lt;'Données projet'!$A$192,$EG$205^A40,IF(A40='Données projet'!$A$192,'Données projet'!$B$192,EJ39+EI40-ER39)))</f>
        <v>129.20000000000005</v>
      </c>
      <c r="EK40" s="18">
        <f>EJ40*VLOOKUP('Données projet'!$B$15,Paramètres!$A$1:$I$89,3,0)*VLOOKUP('Données projet'!$B$15,Paramètres!$A$1:$I$89,5,0)</f>
        <v>104.80704000000004</v>
      </c>
      <c r="EL40" s="14">
        <f t="shared" si="45"/>
        <v>28.104060486002457</v>
      </c>
      <c r="EM40" s="22">
        <f t="shared" si="19"/>
        <v>231.48683334645435</v>
      </c>
      <c r="EN40" s="62">
        <f t="shared" si="20"/>
        <v>524.82016667978769</v>
      </c>
      <c r="EO40" s="62">
        <f ca="1">AVERAGE(OFFSET($EN$3,0,0,'Données projet'!$E$15+1,1))-AVERAGE(OFFSET($H$3,0,0,'Données projet'!$E$15+1,1))</f>
        <v>256.19915261735281</v>
      </c>
      <c r="EP40" s="62">
        <f t="shared" si="46"/>
        <v>297.47246687305056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15.166666666666666</v>
      </c>
      <c r="N41" s="14">
        <f>IF('Données projet'!$A$36&gt;35,N40+M41-V40,IF(A41&lt;'Données projet'!$A$36,$K$205^A41,IF(A41='Données projet'!$A$36,'Données projet'!$B$36,N40+M41-V40)))</f>
        <v>144.33333333333329</v>
      </c>
      <c r="O41" s="14">
        <f>N41*VLOOKUP('Données projet'!$B$9,Paramètres!$A$1:$I$89,3,0)*VLOOKUP('Données projet'!$B$9,Paramètres!$A$1:$I$89,5,0)</f>
        <v>123.83799999999997</v>
      </c>
      <c r="P41" s="14">
        <f t="shared" si="33"/>
        <v>32.568503009939569</v>
      </c>
      <c r="Q41" s="22">
        <f t="shared" si="53"/>
        <v>272.40799274231136</v>
      </c>
      <c r="R41" s="62">
        <f t="shared" si="0"/>
        <v>565.74132607564468</v>
      </c>
      <c r="S41" s="62">
        <f ca="1">AVERAGE(OFFSET($R$3,0,0,'Données projet'!$E$9+1,1))-AVERAGE(OFFSET($H$3,0,0,'Données projet'!$E$9+1,1))</f>
        <v>446.27304516866047</v>
      </c>
      <c r="T41" s="62">
        <f t="shared" si="34"/>
        <v>230.82970731138215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13.2</v>
      </c>
      <c r="AI41" s="14">
        <f>IF('Données projet'!$A$62&gt;35,AI40+AH41-AQ40,IF(A41&lt;'Données projet'!$A$62,$AF$205^A41,IF(A41='Données projet'!$A$62,'Données projet'!$B$62,AI40+AH41-AQ40)))</f>
        <v>278.59999999999997</v>
      </c>
      <c r="AJ41" s="14">
        <f>AI41*VLOOKUP('Données projet'!$B$10,Paramètres!$A$1:$I$89,3,0)*VLOOKUP('Données projet'!$B$10,Paramètres!$A$1:$I$89,5,0)</f>
        <v>221.65415999999999</v>
      </c>
      <c r="AK41" s="14">
        <f t="shared" si="35"/>
        <v>54.474252334510162</v>
      </c>
      <c r="AL41" s="22">
        <f t="shared" si="4"/>
        <v>480.92365148260507</v>
      </c>
      <c r="AM41" s="62">
        <f t="shared" si="5"/>
        <v>774.25698481593838</v>
      </c>
      <c r="AN41" s="62">
        <f ca="1">AVERAGE(OFFSET($AM$3,0,0,'Données projet'!$E$10+1,1))-AVERAGE(OFFSET($H$3,0,0,'Données projet'!$E$10+1,1))</f>
        <v>427.78067187784063</v>
      </c>
      <c r="AO41" s="62">
        <f t="shared" si="36"/>
        <v>464.22892523825118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11.142857142857142</v>
      </c>
      <c r="BD41" s="13">
        <f>IF('Données projet'!$A$88&gt;35,BD40+BC41-BL40,IF(A41&lt;'Données projet'!$A$88,$BA$205^A41,IF(A41='Données projet'!$A$88,'Données projet'!$B$88,BD40+BC41-BL40)))</f>
        <v>163.14285714285714</v>
      </c>
      <c r="BE41" s="14">
        <f>BD41*VLOOKUP('Données projet'!$B$11,Paramètres!$A$1:$I$89,3,0)*VLOOKUP('Données projet'!$B$11,Paramètres!$A$1:$I$89,5,0)</f>
        <v>127.25142857142858</v>
      </c>
      <c r="BF41" s="14">
        <f t="shared" si="37"/>
        <v>33.360457439554281</v>
      </c>
      <c r="BG41" s="22">
        <f t="shared" si="7"/>
        <v>279.73236813579513</v>
      </c>
      <c r="BH41" s="62">
        <f t="shared" si="8"/>
        <v>573.0657014691285</v>
      </c>
      <c r="BI41" s="62">
        <f ca="1">AVERAGE(OFFSET($BH$3,0,0,'Données projet'!$E$11+1,1))-AVERAGE(OFFSET($H$3,0,0,'Données projet'!$E$11+1,1))</f>
        <v>312.09994042858187</v>
      </c>
      <c r="BJ41" s="62">
        <f t="shared" si="38"/>
        <v>283.48738729114024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11.4</v>
      </c>
      <c r="BY41" s="13">
        <f>IF('Données projet'!$A$114&gt;35,BY40+BX41-CG40,IF(A41&lt;'Données projet'!$A$114,$BV$205^A41,IF(A41='Données projet'!$A$114,'Données projet'!$B$114,BY40+BX41-CG40)))</f>
        <v>240.20000000000002</v>
      </c>
      <c r="BZ41" s="14">
        <f>BY41*VLOOKUP('Données projet'!$B$12,Paramètres!$A$1:$I$89,3,0)*VLOOKUP('Données projet'!$B$12,Paramètres!$A$1:$I$89,5,0)</f>
        <v>191.10312000000002</v>
      </c>
      <c r="CA41" s="14">
        <f t="shared" si="39"/>
        <v>47.783754789189338</v>
      </c>
      <c r="CB41" s="22">
        <f t="shared" si="10"/>
        <v>416.06130692450483</v>
      </c>
      <c r="CC41" s="62">
        <f t="shared" si="11"/>
        <v>709.39464025783809</v>
      </c>
      <c r="CD41" s="62">
        <f ca="1">AVERAGE(OFFSET($CC$3,0,0,'Données projet'!$E$12+1,1))-AVERAGE(OFFSET($H$3,0,0,'Données projet'!$E$12+1,1))</f>
        <v>370.79299728190904</v>
      </c>
      <c r="CE41" s="62">
        <f t="shared" si="40"/>
        <v>404.95703400805775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5.7692307692307683</v>
      </c>
      <c r="CT41" s="13">
        <f>IF('Données projet'!$A$140&gt;35,CT40+CS41-DB40,IF(A41&lt;'Données projet'!$A$140,$CQ$205^A41,IF(A41='Données projet'!$A$140,'Données projet'!$B$140,CT40+CS41-DB40)))</f>
        <v>133.97435897435901</v>
      </c>
      <c r="CU41" s="18">
        <f>CT41*VLOOKUP('Données projet'!$B$13,Paramètres!$A$1:$I$89,3,0)*VLOOKUP('Données projet'!$B$13,Paramètres!$A$1:$I$89,5,0)</f>
        <v>127.49000000000004</v>
      </c>
      <c r="CV41" s="14">
        <f t="shared" si="41"/>
        <v>33.415715560398915</v>
      </c>
      <c r="CW41" s="22">
        <f t="shared" si="13"/>
        <v>280.24412126769488</v>
      </c>
      <c r="CX41" s="62">
        <f t="shared" si="14"/>
        <v>573.57745460102819</v>
      </c>
      <c r="CY41" s="62">
        <f ca="1">AVERAGE(OFFSET($CX$3,0,0,'Données projet'!$E$13+1,1))-AVERAGE(OFFSET($H$3,0,0,'Données projet'!$E$13+1,1))</f>
        <v>351.34897243264044</v>
      </c>
      <c r="CZ41" s="62">
        <f t="shared" si="42"/>
        <v>268.39685058071603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6.9230769230769225</v>
      </c>
      <c r="DO41" s="13">
        <f>IF('Données projet'!$A$166&gt;35,DO40+DN41-DW40,IF(A41&lt;'Données projet'!$A$166,$DL$205^A41,IF(A41='Données projet'!$A$166,'Données projet'!$B$166,DO40+DN41-DW40)))</f>
        <v>161.15384615384616</v>
      </c>
      <c r="DP41" s="18">
        <f>DO41*VLOOKUP('Données projet'!$B$14,Paramètres!$A$1:$I$89,3,0)*VLOOKUP('Données projet'!$B$14,Paramètres!$A$1:$I$89,5,0)</f>
        <v>108.102</v>
      </c>
      <c r="DQ41" s="14">
        <f t="shared" si="43"/>
        <v>28.883348990351944</v>
      </c>
      <c r="DR41" s="22">
        <f t="shared" si="16"/>
        <v>238.58281615819627</v>
      </c>
      <c r="DS41" s="62">
        <f t="shared" si="17"/>
        <v>531.91614949152961</v>
      </c>
      <c r="DT41" s="62">
        <f ca="1">AVERAGE(OFFSET($DS$3,0,0,'Données projet'!$E$14+1,1))-AVERAGE(OFFSET($H$3,0,0,'Données projet'!$E$14+1,1))</f>
        <v>290.46086333591074</v>
      </c>
      <c r="DU41" s="62">
        <f t="shared" si="44"/>
        <v>236.8495901994267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7.6</v>
      </c>
      <c r="EJ41" s="13">
        <f>IF('Données projet'!$A$192&gt;35,EJ40+EI41-ER40,IF(A41&lt;'Données projet'!$A$192,$EG$205^A41,IF(A41='Données projet'!$A$192,'Données projet'!$B$192,EJ40+EI41-ER40)))</f>
        <v>136.80000000000004</v>
      </c>
      <c r="EK41" s="18">
        <f>EJ41*VLOOKUP('Données projet'!$B$15,Paramètres!$A$1:$I$89,3,0)*VLOOKUP('Données projet'!$B$15,Paramètres!$A$1:$I$89,5,0)</f>
        <v>110.97216000000004</v>
      </c>
      <c r="EL41" s="14">
        <f t="shared" si="45"/>
        <v>29.559915623187329</v>
      </c>
      <c r="EM41" s="22">
        <f t="shared" si="19"/>
        <v>244.76003171038471</v>
      </c>
      <c r="EN41" s="62">
        <f t="shared" si="20"/>
        <v>538.09336504371799</v>
      </c>
      <c r="EO41" s="62">
        <f ca="1">AVERAGE(OFFSET($EN$3,0,0,'Données projet'!$E$15+1,1))-AVERAGE(OFFSET($H$3,0,0,'Données projet'!$E$15+1,1))</f>
        <v>256.19915261735281</v>
      </c>
      <c r="EP41" s="62">
        <f t="shared" si="46"/>
        <v>297.47246687305056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15.166666666666666</v>
      </c>
      <c r="N42" s="14">
        <f>IF('Données projet'!$A$36&gt;35,N41+M42-V41,IF(A42&lt;'Données projet'!$A$36,$K$205^A42,IF(A42='Données projet'!$A$36,'Données projet'!$B$36,N41+M42-V41)))</f>
        <v>159.49999999999994</v>
      </c>
      <c r="O42" s="14">
        <f>N42*VLOOKUP('Données projet'!$B$9,Paramètres!$A$1:$I$89,3,0)*VLOOKUP('Données projet'!$B$9,Paramètres!$A$1:$I$89,5,0)</f>
        <v>136.85099999999997</v>
      </c>
      <c r="P42" s="14">
        <f t="shared" si="33"/>
        <v>35.574661452157265</v>
      </c>
      <c r="Q42" s="22">
        <f t="shared" si="53"/>
        <v>300.30802702917384</v>
      </c>
      <c r="R42" s="62">
        <f t="shared" si="0"/>
        <v>593.64136036250716</v>
      </c>
      <c r="S42" s="62">
        <f ca="1">AVERAGE(OFFSET($R$3,0,0,'Données projet'!$E$9+1,1))-AVERAGE(OFFSET($H$3,0,0,'Données projet'!$E$9+1,1))</f>
        <v>446.27304516866047</v>
      </c>
      <c r="T42" s="62">
        <f t="shared" si="34"/>
        <v>230.82970731138215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13.2</v>
      </c>
      <c r="AI42" s="14">
        <f>IF('Données projet'!$A$62&gt;35,AI41+AH42-AQ41,IF(A42&lt;'Données projet'!$A$62,$AF$205^A42,IF(A42='Données projet'!$A$62,'Données projet'!$B$62,AI41+AH42-AQ41)))</f>
        <v>291.79999999999995</v>
      </c>
      <c r="AJ42" s="14">
        <f>AI42*VLOOKUP('Données projet'!$B$10,Paramètres!$A$1:$I$89,3,0)*VLOOKUP('Données projet'!$B$10,Paramètres!$A$1:$I$89,5,0)</f>
        <v>232.15607999999997</v>
      </c>
      <c r="AK42" s="14">
        <f t="shared" si="35"/>
        <v>56.748622971669057</v>
      </c>
      <c r="AL42" s="22">
        <f t="shared" si="4"/>
        <v>503.17569100899021</v>
      </c>
      <c r="AM42" s="62">
        <f t="shared" si="5"/>
        <v>796.50902434232353</v>
      </c>
      <c r="AN42" s="62">
        <f ca="1">AVERAGE(OFFSET($AM$3,0,0,'Données projet'!$E$10+1,1))-AVERAGE(OFFSET($H$3,0,0,'Données projet'!$E$10+1,1))</f>
        <v>427.78067187784063</v>
      </c>
      <c r="AO42" s="62">
        <f t="shared" si="36"/>
        <v>464.22892523825118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11.142857142857142</v>
      </c>
      <c r="BD42" s="13">
        <f>IF('Données projet'!$A$88&gt;35,BD41+BC42-BL41,IF(A42&lt;'Données projet'!$A$88,$BA$205^A42,IF(A42='Données projet'!$A$88,'Données projet'!$B$88,BD41+BC42-BL41)))</f>
        <v>174.28571428571428</v>
      </c>
      <c r="BE42" s="14">
        <f>BD42*VLOOKUP('Données projet'!$B$11,Paramètres!$A$1:$I$89,3,0)*VLOOKUP('Données projet'!$B$11,Paramètres!$A$1:$I$89,5,0)</f>
        <v>135.94285714285715</v>
      </c>
      <c r="BF42" s="14">
        <f t="shared" si="37"/>
        <v>35.365986273808367</v>
      </c>
      <c r="BG42" s="22">
        <f t="shared" si="7"/>
        <v>298.36290228402578</v>
      </c>
      <c r="BH42" s="62">
        <f t="shared" si="8"/>
        <v>591.69623561735909</v>
      </c>
      <c r="BI42" s="62">
        <f ca="1">AVERAGE(OFFSET($BH$3,0,0,'Données projet'!$E$11+1,1))-AVERAGE(OFFSET($H$3,0,0,'Données projet'!$E$11+1,1))</f>
        <v>312.09994042858187</v>
      </c>
      <c r="BJ42" s="62">
        <f t="shared" si="38"/>
        <v>283.48738729114024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11.4</v>
      </c>
      <c r="BY42" s="13">
        <f>IF('Données projet'!$A$114&gt;35,BY41+BX42-CG41,IF(A42&lt;'Données projet'!$A$114,$BV$205^A42,IF(A42='Données projet'!$A$114,'Données projet'!$B$114,BY41+BX42-CG41)))</f>
        <v>251.60000000000002</v>
      </c>
      <c r="BZ42" s="14">
        <f>BY42*VLOOKUP('Données projet'!$B$12,Paramètres!$A$1:$I$89,3,0)*VLOOKUP('Données projet'!$B$12,Paramètres!$A$1:$I$89,5,0)</f>
        <v>200.17296000000002</v>
      </c>
      <c r="CA42" s="14">
        <f t="shared" si="39"/>
        <v>49.782177185856028</v>
      </c>
      <c r="CB42" s="22">
        <f t="shared" si="10"/>
        <v>435.33853059869926</v>
      </c>
      <c r="CC42" s="62">
        <f t="shared" si="11"/>
        <v>728.67186393203258</v>
      </c>
      <c r="CD42" s="62">
        <f ca="1">AVERAGE(OFFSET($CC$3,0,0,'Données projet'!$E$12+1,1))-AVERAGE(OFFSET($H$3,0,0,'Données projet'!$E$12+1,1))</f>
        <v>370.79299728190904</v>
      </c>
      <c r="CE42" s="62">
        <f t="shared" si="40"/>
        <v>404.95703400805775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5.7692307692307683</v>
      </c>
      <c r="CT42" s="13">
        <f>IF('Données projet'!$A$140&gt;35,CT41+CS42-DB41,IF(A42&lt;'Données projet'!$A$140,$CQ$205^A42,IF(A42='Données projet'!$A$140,'Données projet'!$B$140,CT41+CS42-DB41)))</f>
        <v>139.74358974358978</v>
      </c>
      <c r="CU42" s="18">
        <f>CT42*VLOOKUP('Données projet'!$B$13,Paramètres!$A$1:$I$89,3,0)*VLOOKUP('Données projet'!$B$13,Paramètres!$A$1:$I$89,5,0)</f>
        <v>132.98000000000005</v>
      </c>
      <c r="CV42" s="14">
        <f t="shared" si="41"/>
        <v>34.684038915816181</v>
      </c>
      <c r="CW42" s="22">
        <f t="shared" si="13"/>
        <v>292.01486777837994</v>
      </c>
      <c r="CX42" s="62">
        <f t="shared" si="14"/>
        <v>585.34820111171325</v>
      </c>
      <c r="CY42" s="62">
        <f ca="1">AVERAGE(OFFSET($CX$3,0,0,'Données projet'!$E$13+1,1))-AVERAGE(OFFSET($H$3,0,0,'Données projet'!$E$13+1,1))</f>
        <v>351.34897243264044</v>
      </c>
      <c r="CZ42" s="62">
        <f t="shared" si="42"/>
        <v>268.39685058071603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6.9230769230769225</v>
      </c>
      <c r="DO42" s="13">
        <f>IF('Données projet'!$A$166&gt;35,DO41+DN42-DW41,IF(A42&lt;'Données projet'!$A$166,$DL$205^A42,IF(A42='Données projet'!$A$166,'Données projet'!$B$166,DO41+DN42-DW41)))</f>
        <v>168.07692307692309</v>
      </c>
      <c r="DP42" s="18">
        <f>DO42*VLOOKUP('Données projet'!$B$14,Paramètres!$A$1:$I$89,3,0)*VLOOKUP('Données projet'!$B$14,Paramètres!$A$1:$I$89,5,0)</f>
        <v>112.74600000000001</v>
      </c>
      <c r="DQ42" s="14">
        <f t="shared" si="43"/>
        <v>29.977032224041835</v>
      </c>
      <c r="DR42" s="22">
        <f t="shared" si="16"/>
        <v>248.57594779020619</v>
      </c>
      <c r="DS42" s="62">
        <f t="shared" si="17"/>
        <v>541.90928112353947</v>
      </c>
      <c r="DT42" s="62">
        <f ca="1">AVERAGE(OFFSET($DS$3,0,0,'Données projet'!$E$14+1,1))-AVERAGE(OFFSET($H$3,0,0,'Données projet'!$E$14+1,1))</f>
        <v>290.46086333591074</v>
      </c>
      <c r="DU42" s="62">
        <f t="shared" si="44"/>
        <v>236.8495901994267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7.6</v>
      </c>
      <c r="EJ42" s="13">
        <f>IF('Données projet'!$A$192&gt;35,EJ41+EI42-ER41,IF(A42&lt;'Données projet'!$A$192,$EG$205^A42,IF(A42='Données projet'!$A$192,'Données projet'!$B$192,EJ41+EI42-ER41)))</f>
        <v>144.40000000000003</v>
      </c>
      <c r="EK42" s="18">
        <f>EJ42*VLOOKUP('Données projet'!$B$15,Paramètres!$A$1:$I$89,3,0)*VLOOKUP('Données projet'!$B$15,Paramètres!$A$1:$I$89,5,0)</f>
        <v>117.13728000000003</v>
      </c>
      <c r="EL42" s="14">
        <f t="shared" si="45"/>
        <v>31.006381507018595</v>
      </c>
      <c r="EM42" s="22">
        <f t="shared" si="19"/>
        <v>258.01687712472409</v>
      </c>
      <c r="EN42" s="62">
        <f t="shared" si="20"/>
        <v>551.3502104580574</v>
      </c>
      <c r="EO42" s="62">
        <f ca="1">AVERAGE(OFFSET($EN$3,0,0,'Données projet'!$E$15+1,1))-AVERAGE(OFFSET($H$3,0,0,'Données projet'!$E$15+1,1))</f>
        <v>256.19915261735281</v>
      </c>
      <c r="EP42" s="62">
        <f t="shared" si="46"/>
        <v>297.47246687305056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15.166666666666666</v>
      </c>
      <c r="N43" s="14">
        <f>IF('Données projet'!$A$36&gt;35,N42+M43-V42,IF(A43&lt;'Données projet'!$A$36,$K$205^A43,IF(A43='Données projet'!$A$36,'Données projet'!$B$36,N42+M43-V42)))</f>
        <v>174.6666666666666</v>
      </c>
      <c r="O43" s="14">
        <f>N43*VLOOKUP('Données projet'!$B$9,Paramètres!$A$1:$I$89,3,0)*VLOOKUP('Données projet'!$B$9,Paramètres!$A$1:$I$89,5,0)</f>
        <v>149.86399999999995</v>
      </c>
      <c r="P43" s="14">
        <f t="shared" si="33"/>
        <v>38.547677501412096</v>
      </c>
      <c r="Q43" s="22">
        <f t="shared" si="53"/>
        <v>328.1503383149593</v>
      </c>
      <c r="R43" s="62">
        <f t="shared" si="0"/>
        <v>621.48367164829256</v>
      </c>
      <c r="S43" s="62">
        <f ca="1">AVERAGE(OFFSET($R$3,0,0,'Données projet'!$E$9+1,1))-AVERAGE(OFFSET($H$3,0,0,'Données projet'!$E$9+1,1))</f>
        <v>446.27304516866047</v>
      </c>
      <c r="T43" s="62">
        <f t="shared" si="34"/>
        <v>230.82970731138215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305</v>
      </c>
      <c r="AG43" s="13">
        <f>VLOOKUP(A43,'Données projet'!$A$61:$I$81,9,0)</f>
        <v>13.2</v>
      </c>
      <c r="AH43" s="13">
        <f t="array" ref="AH43">INDEX(AG:AG,MIN(IF(ISNUMBER(AG43:AG239),ROW(AG43:AG239),"")))</f>
        <v>13.2</v>
      </c>
      <c r="AI43" s="14">
        <f>IF('Données projet'!$A$62&gt;35,AI42+AH43-AQ42,IF(A43&lt;'Données projet'!$A$62,$AF$205^A43,IF(A43='Données projet'!$A$62,'Données projet'!$B$62,AI42+AH43-AQ42)))</f>
        <v>304.99999999999994</v>
      </c>
      <c r="AJ43" s="14">
        <f>AI43*VLOOKUP('Données projet'!$B$10,Paramètres!$A$1:$I$89,3,0)*VLOOKUP('Données projet'!$B$10,Paramètres!$A$1:$I$89,5,0)</f>
        <v>242.65799999999999</v>
      </c>
      <c r="AK43" s="14">
        <f t="shared" si="35"/>
        <v>59.011045025839607</v>
      </c>
      <c r="AL43" s="22">
        <f t="shared" si="4"/>
        <v>525.40692008667054</v>
      </c>
      <c r="AM43" s="62">
        <f t="shared" si="5"/>
        <v>818.74025342000391</v>
      </c>
      <c r="AN43" s="62">
        <f ca="1">AVERAGE(OFFSET($AM$3,0,0,'Données projet'!$E$10+1,1))-AVERAGE(OFFSET($H$3,0,0,'Données projet'!$E$10+1,1))</f>
        <v>427.78067187784063</v>
      </c>
      <c r="AO43" s="62">
        <f t="shared" si="36"/>
        <v>464.22892523825118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82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11.142857142857142</v>
      </c>
      <c r="BD43" s="13">
        <f>IF('Données projet'!$A$88&gt;35,BD42+BC43-BL42,IF(A43&lt;'Données projet'!$A$88,$BA$205^A43,IF(A43='Données projet'!$A$88,'Données projet'!$B$88,BD42+BC43-BL42)))</f>
        <v>185.42857142857142</v>
      </c>
      <c r="BE43" s="14">
        <f>BD43*VLOOKUP('Données projet'!$B$11,Paramètres!$A$1:$I$89,3,0)*VLOOKUP('Données projet'!$B$11,Paramètres!$A$1:$I$89,5,0)</f>
        <v>144.63428571428571</v>
      </c>
      <c r="BF43" s="14">
        <f t="shared" si="37"/>
        <v>37.356634728420524</v>
      </c>
      <c r="BG43" s="22">
        <f t="shared" si="7"/>
        <v>316.96751977104668</v>
      </c>
      <c r="BH43" s="62">
        <f t="shared" si="8"/>
        <v>610.30085310437994</v>
      </c>
      <c r="BI43" s="62">
        <f ca="1">AVERAGE(OFFSET($BH$3,0,0,'Données projet'!$E$11+1,1))-AVERAGE(OFFSET($H$3,0,0,'Données projet'!$E$11+1,1))</f>
        <v>312.09994042858187</v>
      </c>
      <c r="BJ43" s="62">
        <f t="shared" si="38"/>
        <v>283.48738729114024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263</v>
      </c>
      <c r="BW43" s="13">
        <f>VLOOKUP(A43,'Données projet'!$A$113:$I$133,9,0)</f>
        <v>11.4</v>
      </c>
      <c r="BX43" s="13">
        <f t="array" ref="BX43">INDEX(BW:BW,MIN(IF(ISNUMBER(BW43:BW239),ROW(BW43:BW239),"")))</f>
        <v>11.4</v>
      </c>
      <c r="BY43" s="13">
        <f>IF('Données projet'!$A$114&gt;35,BY42+BX43-CG42,IF(A43&lt;'Données projet'!$A$114,$BV$205^A43,IF(A43='Données projet'!$A$114,'Données projet'!$B$114,BY42+BX43-CG42)))</f>
        <v>263</v>
      </c>
      <c r="BZ43" s="14">
        <f>BY43*VLOOKUP('Données projet'!$B$12,Paramètres!$A$1:$I$89,3,0)*VLOOKUP('Données projet'!$B$12,Paramètres!$A$1:$I$89,5,0)</f>
        <v>209.24279999999999</v>
      </c>
      <c r="CA43" s="14">
        <f t="shared" si="39"/>
        <v>51.770083677016814</v>
      </c>
      <c r="CB43" s="22">
        <f t="shared" si="10"/>
        <v>454.59743907080428</v>
      </c>
      <c r="CC43" s="62">
        <f t="shared" si="11"/>
        <v>747.93077240413754</v>
      </c>
      <c r="CD43" s="62">
        <f ca="1">AVERAGE(OFFSET($CC$3,0,0,'Données projet'!$E$12+1,1))-AVERAGE(OFFSET($H$3,0,0,'Données projet'!$E$12+1,1))</f>
        <v>370.79299728190904</v>
      </c>
      <c r="CE43" s="62">
        <f t="shared" si="40"/>
        <v>404.95703400805775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70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145.5128205128205</v>
      </c>
      <c r="CR43" s="13">
        <f>VLOOKUP(A43,'Données projet'!$A$139:$I$159,9,0)</f>
        <v>5.7692307692307683</v>
      </c>
      <c r="CS43" s="13">
        <f t="array" ref="CS43">INDEX(CR:CR,MIN(IF(ISNUMBER(CR43:CR239),ROW(CR43:CR239),"")))</f>
        <v>5.7692307692307683</v>
      </c>
      <c r="CT43" s="13">
        <f>IF('Données projet'!$A$140&gt;35,CT42+CS43-DB42,IF(A43&lt;'Données projet'!$A$140,$CQ$205^A43,IF(A43='Données projet'!$A$140,'Données projet'!$B$140,CT42+CS43-DB42)))</f>
        <v>145.51282051282055</v>
      </c>
      <c r="CU43" s="18">
        <f>CT43*VLOOKUP('Données projet'!$B$13,Paramètres!$A$1:$I$89,3,0)*VLOOKUP('Données projet'!$B$13,Paramètres!$A$1:$I$89,5,0)</f>
        <v>138.47000000000006</v>
      </c>
      <c r="CV43" s="14">
        <f t="shared" si="41"/>
        <v>35.946280134063549</v>
      </c>
      <c r="CW43" s="22">
        <f t="shared" si="13"/>
        <v>303.7750212334941</v>
      </c>
      <c r="CX43" s="62">
        <f t="shared" si="14"/>
        <v>597.10835456682742</v>
      </c>
      <c r="CY43" s="62">
        <f ca="1">AVERAGE(OFFSET($CX$3,0,0,'Données projet'!$E$13+1,1))-AVERAGE(OFFSET($H$3,0,0,'Données projet'!$E$13+1,1))</f>
        <v>351.34897243264044</v>
      </c>
      <c r="CZ43" s="62">
        <f t="shared" si="42"/>
        <v>268.39685058071603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27.564102564102562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175</v>
      </c>
      <c r="DM43" s="13">
        <f>VLOOKUP(A43,'Données projet'!$A$165:$I$185,9,0)</f>
        <v>6.9230769230769225</v>
      </c>
      <c r="DN43" s="13">
        <f t="array" ref="DN43">INDEX(DM:DM,MIN(IF(ISNUMBER(DM43:DM239),ROW(DM43:DM239),"")))</f>
        <v>6.9230769230769225</v>
      </c>
      <c r="DO43" s="13">
        <f>IF('Données projet'!$A$166&gt;35,DO42+DN43-DW42,IF(A43&lt;'Données projet'!$A$166,$DL$205^A43,IF(A43='Données projet'!$A$166,'Données projet'!$B$166,DO42+DN43-DW42)))</f>
        <v>175.00000000000003</v>
      </c>
      <c r="DP43" s="18">
        <f>DO43*VLOOKUP('Données projet'!$B$14,Paramètres!$A$1:$I$89,3,0)*VLOOKUP('Données projet'!$B$14,Paramètres!$A$1:$I$89,5,0)</f>
        <v>117.39000000000003</v>
      </c>
      <c r="DQ43" s="14">
        <f t="shared" si="43"/>
        <v>31.065482772413461</v>
      </c>
      <c r="DR43" s="22">
        <f t="shared" si="16"/>
        <v>258.55996582862014</v>
      </c>
      <c r="DS43" s="62">
        <f t="shared" si="17"/>
        <v>551.89329916195345</v>
      </c>
      <c r="DT43" s="62">
        <f ca="1">AVERAGE(OFFSET($DS$3,0,0,'Données projet'!$E$14+1,1))-AVERAGE(OFFSET($H$3,0,0,'Données projet'!$E$14+1,1))</f>
        <v>290.46086333591074</v>
      </c>
      <c r="DU43" s="62">
        <f t="shared" si="44"/>
        <v>236.8495901994267</v>
      </c>
      <c r="DV43" s="16">
        <f>IF(ISNA(VLOOKUP(A43,'Données projet'!$A$165:$I$185,3,0)),0,VLOOKUP(A43,'Données projet'!$A$165:$I$185,3,0))</f>
        <v>3</v>
      </c>
      <c r="DW43" s="16">
        <f>IF(ISNA(VLOOKUP(A43,'Données projet'!$A$165:$I$185,4,0)),0,VLOOKUP(A43,'Données projet'!$A$165:$I$185,4,0))</f>
        <v>32.051282051282051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</v>
      </c>
      <c r="EH43" s="13">
        <f>VLOOKUP(A43,'Données projet'!$A$191:$I$211,9,0)</f>
        <v>7.6</v>
      </c>
      <c r="EI43" s="13">
        <f t="array" ref="EI43">INDEX(EH:EH,MIN(IF(ISNUMBER(EH43:EH239),ROW(EH43:EH239),"")))</f>
        <v>7.6</v>
      </c>
      <c r="EJ43" s="13">
        <f>IF('Données projet'!$A$192&gt;35,EJ42+EI43-ER42,IF(A43&lt;'Données projet'!$A$192,$EG$205^A43,IF(A43='Données projet'!$A$192,'Données projet'!$B$192,EJ42+EI43-ER42)))</f>
        <v>152.00000000000003</v>
      </c>
      <c r="EK43" s="18">
        <f>EJ43*VLOOKUP('Données projet'!$B$15,Paramètres!$A$1:$I$89,3,0)*VLOOKUP('Données projet'!$B$15,Paramètres!$A$1:$I$89,5,0)</f>
        <v>123.30240000000003</v>
      </c>
      <c r="EL43" s="14">
        <f t="shared" si="45"/>
        <v>32.444008665071891</v>
      </c>
      <c r="EM43" s="22">
        <f t="shared" si="19"/>
        <v>271.25832842500023</v>
      </c>
      <c r="EN43" s="62">
        <f t="shared" si="20"/>
        <v>564.59166175833354</v>
      </c>
      <c r="EO43" s="62">
        <f ca="1">AVERAGE(OFFSET($EN$3,0,0,'Données projet'!$E$15+1,1))-AVERAGE(OFFSET($H$3,0,0,'Données projet'!$E$15+1,1))</f>
        <v>256.19915261735281</v>
      </c>
      <c r="EP43" s="62">
        <f t="shared" si="46"/>
        <v>297.47246687305056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15.166666666666666</v>
      </c>
      <c r="N44" s="14">
        <f>IF('Données projet'!$A$36&gt;35,N43+M44-V43,IF(A44&lt;'Données projet'!$A$36,$K$205^A44,IF(A44='Données projet'!$A$36,'Données projet'!$B$36,N43+M44-V43)))</f>
        <v>189.83333333333326</v>
      </c>
      <c r="O44" s="14">
        <f>N44*VLOOKUP('Données projet'!$B$9,Paramètres!$A$1:$I$89,3,0)*VLOOKUP('Données projet'!$B$9,Paramètres!$A$1:$I$89,5,0)</f>
        <v>162.87699999999995</v>
      </c>
      <c r="P44" s="14">
        <f t="shared" si="33"/>
        <v>41.490756193100523</v>
      </c>
      <c r="Q44" s="22">
        <f t="shared" si="53"/>
        <v>355.94050870298332</v>
      </c>
      <c r="R44" s="62">
        <f t="shared" si="0"/>
        <v>649.27384203631664</v>
      </c>
      <c r="S44" s="62">
        <f ca="1">AVERAGE(OFFSET($R$3,0,0,'Données projet'!$E$9+1,1))-AVERAGE(OFFSET($H$3,0,0,'Données projet'!$E$9+1,1))</f>
        <v>446.27304516866047</v>
      </c>
      <c r="T44" s="62">
        <f t="shared" si="34"/>
        <v>230.82970731138215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234.39999999999992</v>
      </c>
      <c r="AJ44" s="14">
        <f>AI44*VLOOKUP('Données projet'!$B$10,Paramètres!$A$1:$I$89,3,0)*VLOOKUP('Données projet'!$B$10,Paramètres!$A$1:$I$89,5,0)</f>
        <v>186.48863999999995</v>
      </c>
      <c r="AK44" s="14">
        <f t="shared" si="35"/>
        <v>46.762800221578807</v>
      </c>
      <c r="AL44" s="22">
        <f t="shared" si="4"/>
        <v>406.24625838591629</v>
      </c>
      <c r="AM44" s="62">
        <f t="shared" si="5"/>
        <v>699.57959171924961</v>
      </c>
      <c r="AN44" s="62">
        <f ca="1">AVERAGE(OFFSET($AM$3,0,0,'Données projet'!$E$10+1,1))-AVERAGE(OFFSET($H$3,0,0,'Données projet'!$E$10+1,1))</f>
        <v>427.78067187784063</v>
      </c>
      <c r="AO44" s="62">
        <f t="shared" si="36"/>
        <v>464.22892523825118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11.142857142857142</v>
      </c>
      <c r="BD44" s="13">
        <f>IF('Données projet'!$A$88&gt;35,BD43+BC44-BL43,IF(A44&lt;'Données projet'!$A$88,$BA$205^A44,IF(A44='Données projet'!$A$88,'Données projet'!$B$88,BD43+BC44-BL43)))</f>
        <v>196.57142857142856</v>
      </c>
      <c r="BE44" s="14">
        <f>BD44*VLOOKUP('Données projet'!$B$11,Paramètres!$A$1:$I$89,3,0)*VLOOKUP('Données projet'!$B$11,Paramètres!$A$1:$I$89,5,0)</f>
        <v>153.32571428571427</v>
      </c>
      <c r="BF44" s="14">
        <f t="shared" si="37"/>
        <v>39.33339883761419</v>
      </c>
      <c r="BG44" s="22">
        <f t="shared" si="7"/>
        <v>335.54795535646372</v>
      </c>
      <c r="BH44" s="62">
        <f t="shared" si="8"/>
        <v>628.88128868979697</v>
      </c>
      <c r="BI44" s="62">
        <f ca="1">AVERAGE(OFFSET($BH$3,0,0,'Données projet'!$E$11+1,1))-AVERAGE(OFFSET($H$3,0,0,'Données projet'!$E$11+1,1))</f>
        <v>312.09994042858187</v>
      </c>
      <c r="BJ44" s="62">
        <f t="shared" si="38"/>
        <v>283.48738729114024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9.8000000000000007</v>
      </c>
      <c r="BY44" s="13">
        <f>IF('Données projet'!$A$114&gt;35,BY43+BX44-CG43,IF(A44&lt;'Données projet'!$A$114,$BV$205^A44,IF(A44='Données projet'!$A$114,'Données projet'!$B$114,BY43+BX44-CG43)))</f>
        <v>202.8</v>
      </c>
      <c r="BZ44" s="14">
        <f>BY44*VLOOKUP('Données projet'!$B$12,Paramètres!$A$1:$I$89,3,0)*VLOOKUP('Données projet'!$B$12,Paramètres!$A$1:$I$89,5,0)</f>
        <v>161.34768000000003</v>
      </c>
      <c r="CA44" s="14">
        <f t="shared" si="39"/>
        <v>41.146339844316657</v>
      </c>
      <c r="CB44" s="22">
        <f t="shared" si="10"/>
        <v>352.6770845621848</v>
      </c>
      <c r="CC44" s="62">
        <f t="shared" si="11"/>
        <v>646.01041789551812</v>
      </c>
      <c r="CD44" s="62">
        <f ca="1">AVERAGE(OFFSET($CC$3,0,0,'Données projet'!$E$12+1,1))-AVERAGE(OFFSET($H$3,0,0,'Données projet'!$E$12+1,1))</f>
        <v>370.79299728190904</v>
      </c>
      <c r="CE44" s="62">
        <f t="shared" si="40"/>
        <v>404.95703400805775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5.6410256410256467</v>
      </c>
      <c r="CT44" s="13">
        <f>IF('Données projet'!$A$140&gt;35,CT43+CS44-DB43,IF(A44&lt;'Données projet'!$A$140,$CQ$205^A44,IF(A44='Données projet'!$A$140,'Données projet'!$B$140,CT43+CS44-DB43)))</f>
        <v>123.58974358974362</v>
      </c>
      <c r="CU44" s="18">
        <f>CT44*VLOOKUP('Données projet'!$B$13,Paramètres!$A$1:$I$89,3,0)*VLOOKUP('Données projet'!$B$13,Paramètres!$A$1:$I$89,5,0)</f>
        <v>117.60800000000002</v>
      </c>
      <c r="CV44" s="14">
        <f t="shared" si="41"/>
        <v>31.11645249810654</v>
      </c>
      <c r="CW44" s="22">
        <f t="shared" si="13"/>
        <v>259.02842143420224</v>
      </c>
      <c r="CX44" s="62">
        <f t="shared" si="14"/>
        <v>552.36175476753556</v>
      </c>
      <c r="CY44" s="62">
        <f ca="1">AVERAGE(OFFSET($CX$3,0,0,'Données projet'!$E$13+1,1))-AVERAGE(OFFSET($H$3,0,0,'Données projet'!$E$13+1,1))</f>
        <v>351.34897243264044</v>
      </c>
      <c r="CZ44" s="62">
        <f t="shared" si="42"/>
        <v>268.39685058071603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6.2820512820512819</v>
      </c>
      <c r="DO44" s="13">
        <f>IF('Données projet'!$A$166&gt;35,DO43+DN44-DW43,IF(A44&lt;'Données projet'!$A$166,$DL$205^A44,IF(A44='Données projet'!$A$166,'Données projet'!$B$166,DO43+DN44-DW43)))</f>
        <v>149.23076923076925</v>
      </c>
      <c r="DP44" s="18">
        <f>DO44*VLOOKUP('Données projet'!$B$14,Paramètres!$A$1:$I$89,3,0)*VLOOKUP('Données projet'!$B$14,Paramètres!$A$1:$I$89,5,0)</f>
        <v>100.10400000000001</v>
      </c>
      <c r="DQ44" s="14">
        <f t="shared" si="43"/>
        <v>26.986772615130164</v>
      </c>
      <c r="DR44" s="22">
        <f t="shared" si="16"/>
        <v>221.34976230468507</v>
      </c>
      <c r="DS44" s="62">
        <f t="shared" si="17"/>
        <v>514.68309563801836</v>
      </c>
      <c r="DT44" s="62">
        <f ca="1">AVERAGE(OFFSET($DS$3,0,0,'Données projet'!$E$14+1,1))-AVERAGE(OFFSET($H$3,0,0,'Données projet'!$E$14+1,1))</f>
        <v>290.46086333591074</v>
      </c>
      <c r="DU44" s="62">
        <f t="shared" si="44"/>
        <v>236.8495901994267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7.6</v>
      </c>
      <c r="EJ44" s="13">
        <f>IF('Données projet'!$A$192&gt;35,EJ43+EI44-ER43,IF(A44&lt;'Données projet'!$A$192,$EG$205^A44,IF(A44='Données projet'!$A$192,'Données projet'!$B$192,EJ43+EI44-ER43)))</f>
        <v>159.60000000000002</v>
      </c>
      <c r="EK44" s="18">
        <f>EJ44*VLOOKUP('Données projet'!$B$15,Paramètres!$A$1:$I$89,3,0)*VLOOKUP('Données projet'!$B$15,Paramètres!$A$1:$I$89,5,0)</f>
        <v>129.46752000000004</v>
      </c>
      <c r="EL44" s="14">
        <f t="shared" si="45"/>
        <v>33.873289462262882</v>
      </c>
      <c r="EM44" s="22">
        <f t="shared" si="19"/>
        <v>284.48524314677451</v>
      </c>
      <c r="EN44" s="62">
        <f t="shared" si="20"/>
        <v>577.81857648010782</v>
      </c>
      <c r="EO44" s="62">
        <f ca="1">AVERAGE(OFFSET($EN$3,0,0,'Données projet'!$E$15+1,1))-AVERAGE(OFFSET($H$3,0,0,'Données projet'!$E$15+1,1))</f>
        <v>256.19915261735281</v>
      </c>
      <c r="EP44" s="62">
        <f t="shared" si="46"/>
        <v>297.47246687305056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>
        <f>VLOOKUP(A45,'Données projet'!$A$35:$I$55,2,0)</f>
        <v>205</v>
      </c>
      <c r="L45" s="13">
        <f>VLOOKUP(A45,'Données projet'!$A$35:$I$55,9,0)</f>
        <v>15.166666666666666</v>
      </c>
      <c r="M45" s="13">
        <f t="array" ref="M45">INDEX(L:L,MIN(IF(ISNUMBER(L45:L241),ROW(L45:L241),"")))</f>
        <v>15.166666666666666</v>
      </c>
      <c r="N45" s="14">
        <f>IF('Données projet'!$A$36&gt;35,N44+M45-V44,IF(A45&lt;'Données projet'!$A$36,$K$205^A45,IF(A45='Données projet'!$A$36,'Données projet'!$B$36,N44+M45-V44)))</f>
        <v>204.99999999999991</v>
      </c>
      <c r="O45" s="14">
        <f>N45*VLOOKUP('Données projet'!$B$9,Paramètres!$A$1:$I$89,3,0)*VLOOKUP('Données projet'!$B$9,Paramètres!$A$1:$I$89,5,0)</f>
        <v>175.88999999999993</v>
      </c>
      <c r="P45" s="14">
        <f t="shared" si="33"/>
        <v>44.406561291935212</v>
      </c>
      <c r="Q45" s="22">
        <f t="shared" si="53"/>
        <v>383.6831775834537</v>
      </c>
      <c r="R45" s="62">
        <f t="shared" si="0"/>
        <v>677.01651091678696</v>
      </c>
      <c r="S45" s="62">
        <f ca="1">AVERAGE(OFFSET($R$3,0,0,'Données projet'!$E$9+1,1))-AVERAGE(OFFSET($H$3,0,0,'Données projet'!$E$9+1,1))</f>
        <v>446.27304516866047</v>
      </c>
      <c r="T45" s="62">
        <f t="shared" si="34"/>
        <v>230.82970731138215</v>
      </c>
      <c r="U45" s="16">
        <f>IF(ISNA(VLOOKUP(A45,'Données projet'!$A$35:$I$55,3,0)),0,VLOOKUP(A45,'Données projet'!$A$35:$I$55,3,0))</f>
        <v>4</v>
      </c>
      <c r="V45" s="16">
        <f>IF(ISNA(VLOOKUP(A45,'Données projet'!$A$35:$I$55,4,0)),0,VLOOKUP(A45,'Données projet'!$A$35:$I$55,4,0))</f>
        <v>59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245.79999999999993</v>
      </c>
      <c r="AJ45" s="14">
        <f>AI45*VLOOKUP('Données projet'!$B$10,Paramètres!$A$1:$I$89,3,0)*VLOOKUP('Données projet'!$B$10,Paramètres!$A$1:$I$89,5,0)</f>
        <v>195.55847999999995</v>
      </c>
      <c r="AK45" s="14">
        <f t="shared" si="35"/>
        <v>48.766783903364477</v>
      </c>
      <c r="AL45" s="22">
        <f t="shared" si="4"/>
        <v>425.53316796502639</v>
      </c>
      <c r="AM45" s="62">
        <f t="shared" si="5"/>
        <v>718.86650129835971</v>
      </c>
      <c r="AN45" s="62">
        <f ca="1">AVERAGE(OFFSET($AM$3,0,0,'Données projet'!$E$10+1,1))-AVERAGE(OFFSET($H$3,0,0,'Données projet'!$E$10+1,1))</f>
        <v>427.78067187784063</v>
      </c>
      <c r="AO45" s="62">
        <f t="shared" si="36"/>
        <v>464.22892523825118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11.142857142857142</v>
      </c>
      <c r="BD45" s="13">
        <f>IF('Données projet'!$A$88&gt;35,BD44+BC45-BL44,IF(A45&lt;'Données projet'!$A$88,$BA$205^A45,IF(A45='Données projet'!$A$88,'Données projet'!$B$88,BD44+BC45-BL44)))</f>
        <v>207.71428571428569</v>
      </c>
      <c r="BE45" s="14">
        <f>BD45*VLOOKUP('Données projet'!$B$11,Paramètres!$A$1:$I$89,3,0)*VLOOKUP('Données projet'!$B$11,Paramètres!$A$1:$I$89,5,0)</f>
        <v>162.01714285714286</v>
      </c>
      <c r="BF45" s="14">
        <f t="shared" si="37"/>
        <v>41.297155335096676</v>
      </c>
      <c r="BG45" s="22">
        <f t="shared" si="7"/>
        <v>354.10573601815054</v>
      </c>
      <c r="BH45" s="62">
        <f t="shared" si="8"/>
        <v>647.43906935148379</v>
      </c>
      <c r="BI45" s="62">
        <f ca="1">AVERAGE(OFFSET($BH$3,0,0,'Données projet'!$E$11+1,1))-AVERAGE(OFFSET($H$3,0,0,'Données projet'!$E$11+1,1))</f>
        <v>312.09994042858187</v>
      </c>
      <c r="BJ45" s="62">
        <f t="shared" si="38"/>
        <v>283.48738729114024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9.8000000000000007</v>
      </c>
      <c r="BY45" s="13">
        <f>IF('Données projet'!$A$114&gt;35,BY44+BX45-CG44,IF(A45&lt;'Données projet'!$A$114,$BV$205^A45,IF(A45='Données projet'!$A$114,'Données projet'!$B$114,BY44+BX45-CG44)))</f>
        <v>212.60000000000002</v>
      </c>
      <c r="BZ45" s="14">
        <f>BY45*VLOOKUP('Données projet'!$B$12,Paramètres!$A$1:$I$89,3,0)*VLOOKUP('Données projet'!$B$12,Paramètres!$A$1:$I$89,5,0)</f>
        <v>169.14456000000004</v>
      </c>
      <c r="CA45" s="14">
        <f t="shared" si="39"/>
        <v>42.898377267189964</v>
      </c>
      <c r="CB45" s="22">
        <f t="shared" si="10"/>
        <v>369.30811574035596</v>
      </c>
      <c r="CC45" s="62">
        <f t="shared" si="11"/>
        <v>662.64144907368927</v>
      </c>
      <c r="CD45" s="62">
        <f ca="1">AVERAGE(OFFSET($CC$3,0,0,'Données projet'!$E$12+1,1))-AVERAGE(OFFSET($H$3,0,0,'Données projet'!$E$12+1,1))</f>
        <v>370.79299728190904</v>
      </c>
      <c r="CE45" s="62">
        <f t="shared" si="40"/>
        <v>404.95703400805775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5.6410256410256467</v>
      </c>
      <c r="CT45" s="13">
        <f>IF('Données projet'!$A$140&gt;35,CT44+CS45-DB44,IF(A45&lt;'Données projet'!$A$140,$CQ$205^A45,IF(A45='Données projet'!$A$140,'Données projet'!$B$140,CT44+CS45-DB44)))</f>
        <v>129.23076923076925</v>
      </c>
      <c r="CU45" s="18">
        <f>CT45*VLOOKUP('Données projet'!$B$13,Paramètres!$A$1:$I$89,3,0)*VLOOKUP('Données projet'!$B$13,Paramètres!$A$1:$I$89,5,0)</f>
        <v>122.97600000000003</v>
      </c>
      <c r="CV45" s="14">
        <f t="shared" si="41"/>
        <v>32.368109708379926</v>
      </c>
      <c r="CW45" s="22">
        <f t="shared" si="13"/>
        <v>270.5576577420951</v>
      </c>
      <c r="CX45" s="62">
        <f t="shared" si="14"/>
        <v>563.89099107542847</v>
      </c>
      <c r="CY45" s="62">
        <f ca="1">AVERAGE(OFFSET($CX$3,0,0,'Données projet'!$E$13+1,1))-AVERAGE(OFFSET($H$3,0,0,'Données projet'!$E$13+1,1))</f>
        <v>351.34897243264044</v>
      </c>
      <c r="CZ45" s="62">
        <f t="shared" si="42"/>
        <v>268.39685058071603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6.2820512820512819</v>
      </c>
      <c r="DO45" s="13">
        <f>IF('Données projet'!$A$166&gt;35,DO44+DN45-DW44,IF(A45&lt;'Données projet'!$A$166,$DL$205^A45,IF(A45='Données projet'!$A$166,'Données projet'!$B$166,DO44+DN45-DW44)))</f>
        <v>155.51282051282053</v>
      </c>
      <c r="DP45" s="18">
        <f>DO45*VLOOKUP('Données projet'!$B$14,Paramètres!$A$1:$I$89,3,0)*VLOOKUP('Données projet'!$B$14,Paramètres!$A$1:$I$89,5,0)</f>
        <v>104.31800000000001</v>
      </c>
      <c r="DQ45" s="14">
        <f t="shared" si="43"/>
        <v>27.988156910132275</v>
      </c>
      <c r="DR45" s="22">
        <f t="shared" si="16"/>
        <v>230.43322328514708</v>
      </c>
      <c r="DS45" s="62">
        <f t="shared" si="17"/>
        <v>523.76655661848042</v>
      </c>
      <c r="DT45" s="62">
        <f ca="1">AVERAGE(OFFSET($DS$3,0,0,'Données projet'!$E$14+1,1))-AVERAGE(OFFSET($H$3,0,0,'Données projet'!$E$14+1,1))</f>
        <v>290.46086333591074</v>
      </c>
      <c r="DU45" s="62">
        <f t="shared" si="44"/>
        <v>236.8495901994267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7.6</v>
      </c>
      <c r="EJ45" s="13">
        <f>IF('Données projet'!$A$192&gt;35,EJ44+EI45-ER44,IF(A45&lt;'Données projet'!$A$192,$EG$205^A45,IF(A45='Données projet'!$A$192,'Données projet'!$B$192,EJ44+EI45-ER44)))</f>
        <v>167.20000000000002</v>
      </c>
      <c r="EK45" s="18">
        <f>EJ45*VLOOKUP('Données projet'!$B$15,Paramètres!$A$1:$I$89,3,0)*VLOOKUP('Données projet'!$B$15,Paramètres!$A$1:$I$89,5,0)</f>
        <v>135.63264000000004</v>
      </c>
      <c r="EL45" s="14">
        <f t="shared" si="45"/>
        <v>35.294666721954265</v>
      </c>
      <c r="EM45" s="22">
        <f t="shared" si="19"/>
        <v>297.69839254073707</v>
      </c>
      <c r="EN45" s="62">
        <f t="shared" si="20"/>
        <v>591.03172587407039</v>
      </c>
      <c r="EO45" s="62">
        <f ca="1">AVERAGE(OFFSET($EN$3,0,0,'Données projet'!$E$15+1,1))-AVERAGE(OFFSET($H$3,0,0,'Données projet'!$E$15+1,1))</f>
        <v>256.19915261735281</v>
      </c>
      <c r="EP45" s="62">
        <f t="shared" si="46"/>
        <v>297.47246687305056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15.666666666666666</v>
      </c>
      <c r="N46" s="14">
        <f>IF('Données projet'!$A$36&gt;35,N45+M46-V45,IF(A46&lt;'Données projet'!$A$36,$K$205^A46,IF(A46='Données projet'!$A$36,'Données projet'!$B$36,N45+M46-V45)))</f>
        <v>161.66666666666657</v>
      </c>
      <c r="O46" s="14">
        <f>N46*VLOOKUP('Données projet'!$B$9,Paramètres!$A$1:$I$89,3,0)*VLOOKUP('Données projet'!$B$9,Paramètres!$A$1:$I$89,5,0)</f>
        <v>138.70999999999995</v>
      </c>
      <c r="P46" s="14">
        <f t="shared" si="33"/>
        <v>36.00132558429457</v>
      </c>
      <c r="Q46" s="22">
        <f t="shared" si="53"/>
        <v>304.2888920593129</v>
      </c>
      <c r="R46" s="62">
        <f t="shared" si="0"/>
        <v>597.62222539264621</v>
      </c>
      <c r="S46" s="62">
        <f ca="1">AVERAGE(OFFSET($R$3,0,0,'Données projet'!$E$9+1,1))-AVERAGE(OFFSET($H$3,0,0,'Données projet'!$E$9+1,1))</f>
        <v>446.27304516866047</v>
      </c>
      <c r="T46" s="62">
        <f t="shared" si="34"/>
        <v>230.82970731138215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257.19999999999993</v>
      </c>
      <c r="AJ46" s="14">
        <f>AI46*VLOOKUP('Données projet'!$B$10,Paramètres!$A$1:$I$89,3,0)*VLOOKUP('Données projet'!$B$10,Paramètres!$A$1:$I$89,5,0)</f>
        <v>204.62831999999995</v>
      </c>
      <c r="AK46" s="14">
        <f t="shared" si="35"/>
        <v>50.759974072251445</v>
      </c>
      <c r="AL46" s="22">
        <f t="shared" si="4"/>
        <v>444.80127884250447</v>
      </c>
      <c r="AM46" s="62">
        <f t="shared" si="5"/>
        <v>738.13461217583779</v>
      </c>
      <c r="AN46" s="62">
        <f ca="1">AVERAGE(OFFSET($AM$3,0,0,'Données projet'!$E$10+1,1))-AVERAGE(OFFSET($H$3,0,0,'Données projet'!$E$10+1,1))</f>
        <v>427.78067187784063</v>
      </c>
      <c r="AO46" s="62">
        <f t="shared" si="36"/>
        <v>464.22892523825118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11.142857142857142</v>
      </c>
      <c r="BD46" s="13">
        <f>IF('Données projet'!$A$88&gt;35,BD45+BC46-BL45,IF(A46&lt;'Données projet'!$A$88,$BA$205^A46,IF(A46='Données projet'!$A$88,'Données projet'!$B$88,BD45+BC46-BL45)))</f>
        <v>218.85714285714283</v>
      </c>
      <c r="BE46" s="14">
        <f>BD46*VLOOKUP('Données projet'!$B$11,Paramètres!$A$1:$I$89,3,0)*VLOOKUP('Données projet'!$B$11,Paramètres!$A$1:$I$89,5,0)</f>
        <v>170.70857142857142</v>
      </c>
      <c r="BF46" s="14">
        <f t="shared" si="37"/>
        <v>43.248681576985412</v>
      </c>
      <c r="BG46" s="22">
        <f t="shared" si="7"/>
        <v>372.64221565134477</v>
      </c>
      <c r="BH46" s="62">
        <f t="shared" si="8"/>
        <v>665.97554898467808</v>
      </c>
      <c r="BI46" s="62">
        <f ca="1">AVERAGE(OFFSET($BH$3,0,0,'Données projet'!$E$11+1,1))-AVERAGE(OFFSET($H$3,0,0,'Données projet'!$E$11+1,1))</f>
        <v>312.09994042858187</v>
      </c>
      <c r="BJ46" s="62">
        <f t="shared" si="38"/>
        <v>283.48738729114024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9.8000000000000007</v>
      </c>
      <c r="BY46" s="13">
        <f>IF('Données projet'!$A$114&gt;35,BY45+BX46-CG45,IF(A46&lt;'Données projet'!$A$114,$BV$205^A46,IF(A46='Données projet'!$A$114,'Données projet'!$B$114,BY45+BX46-CG45)))</f>
        <v>222.40000000000003</v>
      </c>
      <c r="BZ46" s="14">
        <f>BY46*VLOOKUP('Données projet'!$B$12,Paramètres!$A$1:$I$89,3,0)*VLOOKUP('Données projet'!$B$12,Paramètres!$A$1:$I$89,5,0)</f>
        <v>176.94144000000003</v>
      </c>
      <c r="CA46" s="14">
        <f t="shared" si="39"/>
        <v>44.641035679901449</v>
      </c>
      <c r="CB46" s="22">
        <f t="shared" si="10"/>
        <v>385.92281180916171</v>
      </c>
      <c r="CC46" s="62">
        <f t="shared" si="11"/>
        <v>679.25614514249503</v>
      </c>
      <c r="CD46" s="62">
        <f ca="1">AVERAGE(OFFSET($CC$3,0,0,'Données projet'!$E$12+1,1))-AVERAGE(OFFSET($H$3,0,0,'Données projet'!$E$12+1,1))</f>
        <v>370.79299728190904</v>
      </c>
      <c r="CE46" s="62">
        <f t="shared" si="40"/>
        <v>404.95703400805775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5.6410256410256467</v>
      </c>
      <c r="CT46" s="13">
        <f>IF('Données projet'!$A$140&gt;35,CT45+CS46-DB45,IF(A46&lt;'Données projet'!$A$140,$CQ$205^A46,IF(A46='Données projet'!$A$140,'Données projet'!$B$140,CT45+CS46-DB45)))</f>
        <v>134.87179487179489</v>
      </c>
      <c r="CU46" s="18">
        <f>CT46*VLOOKUP('Données projet'!$B$13,Paramètres!$A$1:$I$89,3,0)*VLOOKUP('Données projet'!$B$13,Paramètres!$A$1:$I$89,5,0)</f>
        <v>128.34400000000002</v>
      </c>
      <c r="CV46" s="14">
        <f t="shared" si="41"/>
        <v>33.613421309084202</v>
      </c>
      <c r="CW46" s="22">
        <f t="shared" si="13"/>
        <v>282.07584211332164</v>
      </c>
      <c r="CX46" s="62">
        <f t="shared" si="14"/>
        <v>575.4091754466549</v>
      </c>
      <c r="CY46" s="62">
        <f ca="1">AVERAGE(OFFSET($CX$3,0,0,'Données projet'!$E$13+1,1))-AVERAGE(OFFSET($H$3,0,0,'Données projet'!$E$13+1,1))</f>
        <v>351.34897243264044</v>
      </c>
      <c r="CZ46" s="62">
        <f t="shared" si="42"/>
        <v>268.39685058071603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6.2820512820512819</v>
      </c>
      <c r="DO46" s="13">
        <f>IF('Données projet'!$A$166&gt;35,DO45+DN46-DW45,IF(A46&lt;'Données projet'!$A$166,$DL$205^A46,IF(A46='Données projet'!$A$166,'Données projet'!$B$166,DO45+DN46-DW45)))</f>
        <v>161.7948717948718</v>
      </c>
      <c r="DP46" s="18">
        <f>DO46*VLOOKUP('Données projet'!$B$14,Paramètres!$A$1:$I$89,3,0)*VLOOKUP('Données projet'!$B$14,Paramètres!$A$1:$I$89,5,0)</f>
        <v>108.532</v>
      </c>
      <c r="DQ46" s="14">
        <f t="shared" si="43"/>
        <v>28.984842338071154</v>
      </c>
      <c r="DR46" s="22">
        <f t="shared" si="16"/>
        <v>239.50850040547391</v>
      </c>
      <c r="DS46" s="62">
        <f t="shared" si="17"/>
        <v>532.84183373880728</v>
      </c>
      <c r="DT46" s="62">
        <f ca="1">AVERAGE(OFFSET($DS$3,0,0,'Données projet'!$E$14+1,1))-AVERAGE(OFFSET($H$3,0,0,'Données projet'!$E$14+1,1))</f>
        <v>290.46086333591074</v>
      </c>
      <c r="DU46" s="62">
        <f t="shared" si="44"/>
        <v>236.8495901994267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7.6</v>
      </c>
      <c r="EJ46" s="13">
        <f>IF('Données projet'!$A$192&gt;35,EJ45+EI46-ER45,IF(A46&lt;'Données projet'!$A$192,$EG$205^A46,IF(A46='Données projet'!$A$192,'Données projet'!$B$192,EJ45+EI46-ER45)))</f>
        <v>174.8</v>
      </c>
      <c r="EK46" s="18">
        <f>EJ46*VLOOKUP('Données projet'!$B$15,Paramètres!$A$1:$I$89,3,0)*VLOOKUP('Données projet'!$B$15,Paramètres!$A$1:$I$89,5,0)</f>
        <v>141.79776000000004</v>
      </c>
      <c r="EL46" s="14">
        <f t="shared" si="45"/>
        <v>36.708540735279854</v>
      </c>
      <c r="EM46" s="22">
        <f t="shared" si="19"/>
        <v>310.89847378061245</v>
      </c>
      <c r="EN46" s="62">
        <f t="shared" si="20"/>
        <v>604.23180711394571</v>
      </c>
      <c r="EO46" s="62">
        <f ca="1">AVERAGE(OFFSET($EN$3,0,0,'Données projet'!$E$15+1,1))-AVERAGE(OFFSET($H$3,0,0,'Données projet'!$E$15+1,1))</f>
        <v>256.19915261735281</v>
      </c>
      <c r="EP46" s="62">
        <f t="shared" si="46"/>
        <v>297.47246687305056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15.666666666666666</v>
      </c>
      <c r="N47" s="14">
        <f>IF('Données projet'!$A$36&gt;35,N46+M47-V46,IF(A47&lt;'Données projet'!$A$36,$K$205^A47,IF(A47='Données projet'!$A$36,'Données projet'!$B$36,N46+M47-V46)))</f>
        <v>177.33333333333323</v>
      </c>
      <c r="O47" s="14">
        <f>N47*VLOOKUP('Données projet'!$B$9,Paramètres!$A$1:$I$89,3,0)*VLOOKUP('Données projet'!$B$9,Paramètres!$A$1:$I$89,5,0)</f>
        <v>152.15199999999993</v>
      </c>
      <c r="P47" s="14">
        <f t="shared" si="33"/>
        <v>39.067229161930634</v>
      </c>
      <c r="Q47" s="22">
        <f t="shared" si="53"/>
        <v>333.04015745702907</v>
      </c>
      <c r="R47" s="62">
        <f t="shared" si="0"/>
        <v>626.37349079036244</v>
      </c>
      <c r="S47" s="62">
        <f ca="1">AVERAGE(OFFSET($R$3,0,0,'Données projet'!$E$9+1,1))-AVERAGE(OFFSET($H$3,0,0,'Données projet'!$E$9+1,1))</f>
        <v>446.27304516866047</v>
      </c>
      <c r="T47" s="62">
        <f t="shared" si="34"/>
        <v>230.82970731138215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268.59999999999991</v>
      </c>
      <c r="AJ47" s="14">
        <f>AI47*VLOOKUP('Données projet'!$B$10,Paramètres!$A$1:$I$89,3,0)*VLOOKUP('Données projet'!$B$10,Paramètres!$A$1:$I$89,5,0)</f>
        <v>213.69815999999994</v>
      </c>
      <c r="AK47" s="14">
        <f t="shared" si="35"/>
        <v>52.742903801874164</v>
      </c>
      <c r="AL47" s="22">
        <f t="shared" si="4"/>
        <v>464.05151945493071</v>
      </c>
      <c r="AM47" s="62">
        <f t="shared" si="5"/>
        <v>757.38485278826397</v>
      </c>
      <c r="AN47" s="62">
        <f ca="1">AVERAGE(OFFSET($AM$3,0,0,'Données projet'!$E$10+1,1))-AVERAGE(OFFSET($H$3,0,0,'Données projet'!$E$10+1,1))</f>
        <v>427.78067187784063</v>
      </c>
      <c r="AO47" s="62">
        <f t="shared" si="36"/>
        <v>464.22892523825118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>
        <f>VLOOKUP(A47,'Données projet'!$A$87:$I$107,2,0)</f>
        <v>230</v>
      </c>
      <c r="BB47" s="13">
        <f>VLOOKUP(A47,'Données projet'!$A$87:$I$107,9,0)</f>
        <v>11.142857142857142</v>
      </c>
      <c r="BC47" s="13">
        <f t="array" ref="BC47">INDEX(BB:BB,MIN(IF(ISNUMBER(BB47:BB243),ROW(BB47:BB243),"")))</f>
        <v>11.142857142857142</v>
      </c>
      <c r="BD47" s="13">
        <f>IF('Données projet'!$A$88&gt;35,BD46+BC47-BL46,IF(A47&lt;'Données projet'!$A$88,$BA$205^A47,IF(A47='Données projet'!$A$88,'Données projet'!$B$88,BD46+BC47-BL46)))</f>
        <v>229.99999999999997</v>
      </c>
      <c r="BE47" s="14">
        <f>BD47*VLOOKUP('Données projet'!$B$11,Paramètres!$A$1:$I$89,3,0)*VLOOKUP('Données projet'!$B$11,Paramètres!$A$1:$I$89,5,0)</f>
        <v>179.39999999999998</v>
      </c>
      <c r="BF47" s="14">
        <f t="shared" si="37"/>
        <v>45.188671291872232</v>
      </c>
      <c r="BG47" s="22">
        <f t="shared" si="7"/>
        <v>391.15860250001077</v>
      </c>
      <c r="BH47" s="62">
        <f t="shared" si="8"/>
        <v>684.49193583334409</v>
      </c>
      <c r="BI47" s="62">
        <f ca="1">AVERAGE(OFFSET($BH$3,0,0,'Données projet'!$E$11+1,1))-AVERAGE(OFFSET($H$3,0,0,'Données projet'!$E$11+1,1))</f>
        <v>312.09994042858187</v>
      </c>
      <c r="BJ47" s="62">
        <f t="shared" si="38"/>
        <v>283.48738729114024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9.8000000000000007</v>
      </c>
      <c r="BY47" s="13">
        <f>IF('Données projet'!$A$114&gt;35,BY46+BX47-CG46,IF(A47&lt;'Données projet'!$A$114,$BV$205^A47,IF(A47='Données projet'!$A$114,'Données projet'!$B$114,BY46+BX47-CG46)))</f>
        <v>232.20000000000005</v>
      </c>
      <c r="BZ47" s="14">
        <f>BY47*VLOOKUP('Données projet'!$B$12,Paramètres!$A$1:$I$89,3,0)*VLOOKUP('Données projet'!$B$12,Paramètres!$A$1:$I$89,5,0)</f>
        <v>184.73832000000004</v>
      </c>
      <c r="CA47" s="14">
        <f t="shared" si="39"/>
        <v>46.374775595471988</v>
      </c>
      <c r="CB47" s="22">
        <f t="shared" si="10"/>
        <v>402.52197482878046</v>
      </c>
      <c r="CC47" s="62">
        <f t="shared" si="11"/>
        <v>695.85530816211372</v>
      </c>
      <c r="CD47" s="62">
        <f ca="1">AVERAGE(OFFSET($CC$3,0,0,'Données projet'!$E$12+1,1))-AVERAGE(OFFSET($H$3,0,0,'Données projet'!$E$12+1,1))</f>
        <v>370.79299728190904</v>
      </c>
      <c r="CE47" s="62">
        <f t="shared" si="40"/>
        <v>404.95703400805775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5.6410256410256467</v>
      </c>
      <c r="CT47" s="13">
        <f>IF('Données projet'!$A$140&gt;35,CT46+CS47-DB46,IF(A47&lt;'Données projet'!$A$140,$CQ$205^A47,IF(A47='Données projet'!$A$140,'Données projet'!$B$140,CT46+CS47-DB46)))</f>
        <v>140.51282051282053</v>
      </c>
      <c r="CU47" s="18">
        <f>CT47*VLOOKUP('Données projet'!$B$13,Paramètres!$A$1:$I$89,3,0)*VLOOKUP('Données projet'!$B$13,Paramètres!$A$1:$I$89,5,0)</f>
        <v>133.71200000000002</v>
      </c>
      <c r="CV47" s="14">
        <f t="shared" si="41"/>
        <v>34.852683054963606</v>
      </c>
      <c r="CW47" s="22">
        <f t="shared" si="13"/>
        <v>293.58348965406162</v>
      </c>
      <c r="CX47" s="62">
        <f t="shared" si="14"/>
        <v>586.91682298739488</v>
      </c>
      <c r="CY47" s="62">
        <f ca="1">AVERAGE(OFFSET($CX$3,0,0,'Données projet'!$E$13+1,1))-AVERAGE(OFFSET($H$3,0,0,'Données projet'!$E$13+1,1))</f>
        <v>351.34897243264044</v>
      </c>
      <c r="CZ47" s="62">
        <f t="shared" si="42"/>
        <v>268.39685058071603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6.2820512820512819</v>
      </c>
      <c r="DO47" s="13">
        <f>IF('Données projet'!$A$166&gt;35,DO46+DN47-DW46,IF(A47&lt;'Données projet'!$A$166,$DL$205^A47,IF(A47='Données projet'!$A$166,'Données projet'!$B$166,DO46+DN47-DW46)))</f>
        <v>168.07692307692307</v>
      </c>
      <c r="DP47" s="18">
        <f>DO47*VLOOKUP('Données projet'!$B$14,Paramètres!$A$1:$I$89,3,0)*VLOOKUP('Données projet'!$B$14,Paramètres!$A$1:$I$89,5,0)</f>
        <v>112.746</v>
      </c>
      <c r="DQ47" s="14">
        <f t="shared" si="43"/>
        <v>29.977032224041835</v>
      </c>
      <c r="DR47" s="22">
        <f t="shared" si="16"/>
        <v>248.57594779020619</v>
      </c>
      <c r="DS47" s="62">
        <f t="shared" si="17"/>
        <v>541.90928112353947</v>
      </c>
      <c r="DT47" s="62">
        <f ca="1">AVERAGE(OFFSET($DS$3,0,0,'Données projet'!$E$14+1,1))-AVERAGE(OFFSET($H$3,0,0,'Données projet'!$E$14+1,1))</f>
        <v>290.46086333591074</v>
      </c>
      <c r="DU47" s="62">
        <f t="shared" si="44"/>
        <v>236.8495901994267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7.6</v>
      </c>
      <c r="EJ47" s="13">
        <f>IF('Données projet'!$A$192&gt;35,EJ46+EI47-ER46,IF(A47&lt;'Données projet'!$A$192,$EG$205^A47,IF(A47='Données projet'!$A$192,'Données projet'!$B$192,EJ46+EI47-ER46)))</f>
        <v>182.4</v>
      </c>
      <c r="EK47" s="18">
        <f>EJ47*VLOOKUP('Données projet'!$B$15,Paramètres!$A$1:$I$89,3,0)*VLOOKUP('Données projet'!$B$15,Paramètres!$A$1:$I$89,5,0)</f>
        <v>147.96288000000001</v>
      </c>
      <c r="EL47" s="14">
        <f t="shared" si="45"/>
        <v>38.115275017059226</v>
      </c>
      <c r="EM47" s="22">
        <f t="shared" si="19"/>
        <v>324.0861199880448</v>
      </c>
      <c r="EN47" s="62">
        <f t="shared" si="20"/>
        <v>617.41945332137811</v>
      </c>
      <c r="EO47" s="62">
        <f ca="1">AVERAGE(OFFSET($EN$3,0,0,'Données projet'!$E$15+1,1))-AVERAGE(OFFSET($H$3,0,0,'Données projet'!$E$15+1,1))</f>
        <v>256.19915261735281</v>
      </c>
      <c r="EP47" s="62">
        <f t="shared" si="46"/>
        <v>297.47246687305056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15.666666666666666</v>
      </c>
      <c r="N48" s="14">
        <f>IF('Données projet'!$A$36&gt;35,N47+M48-V47,IF(A48&lt;'Données projet'!$A$36,$K$205^A48,IF(A48='Données projet'!$A$36,'Données projet'!$B$36,N47+M48-V47)))</f>
        <v>192.99999999999989</v>
      </c>
      <c r="O48" s="14">
        <f>N48*VLOOKUP('Données projet'!$B$9,Paramètres!$A$1:$I$89,3,0)*VLOOKUP('Données projet'!$B$9,Paramètres!$A$1:$I$89,5,0)</f>
        <v>165.59399999999994</v>
      </c>
      <c r="P48" s="14">
        <f t="shared" si="33"/>
        <v>42.101723105196754</v>
      </c>
      <c r="Q48" s="22">
        <f t="shared" si="53"/>
        <v>361.73671774155088</v>
      </c>
      <c r="R48" s="62">
        <f t="shared" si="0"/>
        <v>655.07005107488419</v>
      </c>
      <c r="S48" s="62">
        <f ca="1">AVERAGE(OFFSET($R$3,0,0,'Données projet'!$E$9+1,1))-AVERAGE(OFFSET($H$3,0,0,'Données projet'!$E$9+1,1))</f>
        <v>446.27304516866047</v>
      </c>
      <c r="T48" s="62">
        <f t="shared" si="34"/>
        <v>230.82970731138215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280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279.99999999999989</v>
      </c>
      <c r="AJ48" s="14">
        <f>AI48*VLOOKUP('Données projet'!$B$10,Paramètres!$A$1:$I$89,3,0)*VLOOKUP('Données projet'!$B$10,Paramètres!$A$1:$I$89,5,0)</f>
        <v>222.76799999999994</v>
      </c>
      <c r="AK48" s="14">
        <f t="shared" si="35"/>
        <v>54.716058356609508</v>
      </c>
      <c r="AL48" s="22">
        <f t="shared" si="4"/>
        <v>483.28473497109485</v>
      </c>
      <c r="AM48" s="62">
        <f t="shared" si="5"/>
        <v>776.61806830442811</v>
      </c>
      <c r="AN48" s="62">
        <f ca="1">AVERAGE(OFFSET($AM$3,0,0,'Données projet'!$E$10+1,1))-AVERAGE(OFFSET($H$3,0,0,'Données projet'!$E$10+1,1))</f>
        <v>427.78067187784063</v>
      </c>
      <c r="AO48" s="62">
        <f t="shared" si="36"/>
        <v>464.22892523825118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10.375</v>
      </c>
      <c r="BD48" s="13">
        <f>IF('Données projet'!$A$88&gt;35,BD47+BC48-BL47,IF(A48&lt;'Données projet'!$A$88,$BA$205^A48,IF(A48='Données projet'!$A$88,'Données projet'!$B$88,BD47+BC48-BL47)))</f>
        <v>240.37499999999997</v>
      </c>
      <c r="BE48" s="14">
        <f>BD48*VLOOKUP('Données projet'!$B$11,Paramètres!$A$1:$I$89,3,0)*VLOOKUP('Données projet'!$B$11,Paramètres!$A$1:$I$89,5,0)</f>
        <v>187.49249999999998</v>
      </c>
      <c r="BF48" s="14">
        <f t="shared" si="37"/>
        <v>46.985152290977631</v>
      </c>
      <c r="BG48" s="22">
        <f t="shared" si="7"/>
        <v>408.38191107345261</v>
      </c>
      <c r="BH48" s="62">
        <f t="shared" si="8"/>
        <v>701.71524440678593</v>
      </c>
      <c r="BI48" s="62">
        <f ca="1">AVERAGE(OFFSET($BH$3,0,0,'Données projet'!$E$11+1,1))-AVERAGE(OFFSET($H$3,0,0,'Données projet'!$E$11+1,1))</f>
        <v>312.09994042858187</v>
      </c>
      <c r="BJ48" s="62">
        <f t="shared" si="38"/>
        <v>283.48738729114024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242</v>
      </c>
      <c r="BW48" s="13">
        <f>VLOOKUP(A48,'Données projet'!$A$113:$I$133,9,0)</f>
        <v>9.8000000000000007</v>
      </c>
      <c r="BX48" s="13">
        <f t="array" ref="BX48">INDEX(BW:BW,MIN(IF(ISNUMBER(BW48:BW244),ROW(BW48:BW244),"")))</f>
        <v>9.8000000000000007</v>
      </c>
      <c r="BY48" s="13">
        <f>IF('Données projet'!$A$114&gt;35,BY47+BX48-CG47,IF(A48&lt;'Données projet'!$A$114,$BV$205^A48,IF(A48='Données projet'!$A$114,'Données projet'!$B$114,BY47+BX48-CG47)))</f>
        <v>242.00000000000006</v>
      </c>
      <c r="BZ48" s="14">
        <f>BY48*VLOOKUP('Données projet'!$B$12,Paramètres!$A$1:$I$89,3,0)*VLOOKUP('Données projet'!$B$12,Paramètres!$A$1:$I$89,5,0)</f>
        <v>192.53520000000006</v>
      </c>
      <c r="CA48" s="14">
        <f t="shared" si="39"/>
        <v>48.100016456123079</v>
      </c>
      <c r="CB48" s="22">
        <f t="shared" si="10"/>
        <v>419.10633532774779</v>
      </c>
      <c r="CC48" s="62">
        <f t="shared" si="11"/>
        <v>712.4396686610811</v>
      </c>
      <c r="CD48" s="62">
        <f ca="1">AVERAGE(OFFSET($CC$3,0,0,'Données projet'!$E$12+1,1))-AVERAGE(OFFSET($H$3,0,0,'Données projet'!$E$12+1,1))</f>
        <v>370.79299728190904</v>
      </c>
      <c r="CE48" s="62">
        <f t="shared" si="40"/>
        <v>404.95703400805775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146.15384615384616</v>
      </c>
      <c r="CR48" s="13">
        <f>VLOOKUP(A48,'Données projet'!$A$139:$I$159,9,0)</f>
        <v>5.6410256410256467</v>
      </c>
      <c r="CS48" s="13">
        <f t="array" ref="CS48">INDEX(CR:CR,MIN(IF(ISNUMBER(CR48:CR244),ROW(CR48:CR244),"")))</f>
        <v>5.6410256410256467</v>
      </c>
      <c r="CT48" s="13">
        <f>IF('Données projet'!$A$140&gt;35,CT47+CS48-DB47,IF(A48&lt;'Données projet'!$A$140,$CQ$205^A48,IF(A48='Données projet'!$A$140,'Données projet'!$B$140,CT47+CS48-DB47)))</f>
        <v>146.15384615384616</v>
      </c>
      <c r="CU48" s="18">
        <f>CT48*VLOOKUP('Données projet'!$B$13,Paramètres!$A$1:$I$89,3,0)*VLOOKUP('Données projet'!$B$13,Paramètres!$A$1:$I$89,5,0)</f>
        <v>139.08000000000001</v>
      </c>
      <c r="CV48" s="14">
        <f t="shared" si="41"/>
        <v>36.086165609949958</v>
      </c>
      <c r="CW48" s="22">
        <f t="shared" si="13"/>
        <v>305.08107177066285</v>
      </c>
      <c r="CX48" s="62">
        <f t="shared" si="14"/>
        <v>598.41440510399616</v>
      </c>
      <c r="CY48" s="62">
        <f ca="1">AVERAGE(OFFSET($CX$3,0,0,'Données projet'!$E$13+1,1))-AVERAGE(OFFSET($H$3,0,0,'Données projet'!$E$13+1,1))</f>
        <v>351.34897243264044</v>
      </c>
      <c r="CZ48" s="62">
        <f t="shared" si="42"/>
        <v>268.39685058071603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174.35897435897436</v>
      </c>
      <c r="DM48" s="13">
        <f>VLOOKUP(A48,'Données projet'!$A$165:$I$185,9,0)</f>
        <v>6.2820512820512819</v>
      </c>
      <c r="DN48" s="13">
        <f t="array" ref="DN48">INDEX(DM:DM,MIN(IF(ISNUMBER(DM48:DM244),ROW(DM48:DM244),"")))</f>
        <v>6.2820512820512819</v>
      </c>
      <c r="DO48" s="13">
        <f>IF('Données projet'!$A$166&gt;35,DO47+DN48-DW47,IF(A48&lt;'Données projet'!$A$166,$DL$205^A48,IF(A48='Données projet'!$A$166,'Données projet'!$B$166,DO47+DN48-DW47)))</f>
        <v>174.35897435897434</v>
      </c>
      <c r="DP48" s="18">
        <f>DO48*VLOOKUP('Données projet'!$B$14,Paramètres!$A$1:$I$89,3,0)*VLOOKUP('Données projet'!$B$14,Paramètres!$A$1:$I$89,5,0)</f>
        <v>116.96</v>
      </c>
      <c r="DQ48" s="14">
        <f t="shared" si="43"/>
        <v>30.964913833098269</v>
      </c>
      <c r="DR48" s="22">
        <f t="shared" si="16"/>
        <v>257.63589159264615</v>
      </c>
      <c r="DS48" s="62">
        <f t="shared" si="17"/>
        <v>550.96922492597946</v>
      </c>
      <c r="DT48" s="62">
        <f ca="1">AVERAGE(OFFSET($DS$3,0,0,'Données projet'!$E$14+1,1))-AVERAGE(OFFSET($H$3,0,0,'Données projet'!$E$14+1,1))</f>
        <v>290.46086333591074</v>
      </c>
      <c r="DU48" s="62">
        <f t="shared" si="44"/>
        <v>236.8495901994267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190</v>
      </c>
      <c r="EH48" s="13">
        <f>VLOOKUP(A48,'Données projet'!$A$191:$I$211,9,0)</f>
        <v>7.6</v>
      </c>
      <c r="EI48" s="13">
        <f t="array" ref="EI48">INDEX(EH:EH,MIN(IF(ISNUMBER(EH48:EH244),ROW(EH48:EH244),"")))</f>
        <v>7.6</v>
      </c>
      <c r="EJ48" s="13">
        <f>IF('Données projet'!$A$192&gt;35,EJ47+EI48-ER47,IF(A48&lt;'Données projet'!$A$192,$EG$205^A48,IF(A48='Données projet'!$A$192,'Données projet'!$B$192,EJ47+EI48-ER47)))</f>
        <v>190</v>
      </c>
      <c r="EK48" s="18">
        <f>EJ48*VLOOKUP('Données projet'!$B$15,Paramètres!$A$1:$I$89,3,0)*VLOOKUP('Données projet'!$B$15,Paramètres!$A$1:$I$89,5,0)</f>
        <v>154.12800000000001</v>
      </c>
      <c r="EL48" s="14">
        <f t="shared" si="45"/>
        <v>39.515201075361155</v>
      </c>
      <c r="EM48" s="22">
        <f t="shared" si="19"/>
        <v>337.26190853958735</v>
      </c>
      <c r="EN48" s="62">
        <f t="shared" si="20"/>
        <v>630.59524187292072</v>
      </c>
      <c r="EO48" s="62">
        <f ca="1">AVERAGE(OFFSET($EN$3,0,0,'Données projet'!$E$15+1,1))-AVERAGE(OFFSET($H$3,0,0,'Données projet'!$E$15+1,1))</f>
        <v>256.19915261735281</v>
      </c>
      <c r="EP48" s="62">
        <f t="shared" si="46"/>
        <v>297.47246687305056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15.666666666666666</v>
      </c>
      <c r="N49" s="14">
        <f>IF('Données projet'!$A$36&gt;35,N48+M49-V48,IF(A49&lt;'Données projet'!$A$36,$K$205^A49,IF(A49='Données projet'!$A$36,'Données projet'!$B$36,N48+M49-V48)))</f>
        <v>208.66666666666654</v>
      </c>
      <c r="O49" s="14">
        <f>N49*VLOOKUP('Données projet'!$B$9,Paramètres!$A$1:$I$89,3,0)*VLOOKUP('Données projet'!$B$9,Paramètres!$A$1:$I$89,5,0)</f>
        <v>179.03599999999992</v>
      </c>
      <c r="P49" s="14">
        <f t="shared" si="33"/>
        <v>45.1076469440343</v>
      </c>
      <c r="Q49" s="22">
        <f t="shared" si="53"/>
        <v>390.38351842752627</v>
      </c>
      <c r="R49" s="62">
        <f t="shared" si="0"/>
        <v>683.71685176085953</v>
      </c>
      <c r="S49" s="62">
        <f ca="1">AVERAGE(OFFSET($R$3,0,0,'Données projet'!$E$9+1,1))-AVERAGE(OFFSET($H$3,0,0,'Données projet'!$E$9+1,1))</f>
        <v>446.27304516866047</v>
      </c>
      <c r="T49" s="62">
        <f t="shared" si="34"/>
        <v>230.82970731138215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9.8000000000000007</v>
      </c>
      <c r="AI49" s="14">
        <f>IF('Données projet'!$A$62&gt;35,AI48+AH49-AQ48,IF(A49&lt;'Données projet'!$A$62,$AF$205^A49,IF(A49='Données projet'!$A$62,'Données projet'!$B$62,AI48+AH49-AQ48)))</f>
        <v>289.7999999999999</v>
      </c>
      <c r="AJ49" s="14">
        <f>AI49*VLOOKUP('Données projet'!$B$10,Paramètres!$A$1:$I$89,3,0)*VLOOKUP('Données projet'!$B$10,Paramètres!$A$1:$I$89,5,0)</f>
        <v>230.56487999999993</v>
      </c>
      <c r="AK49" s="14">
        <f t="shared" si="35"/>
        <v>56.404804351341944</v>
      </c>
      <c r="AL49" s="22">
        <f t="shared" si="4"/>
        <v>499.80553357858707</v>
      </c>
      <c r="AM49" s="62">
        <f t="shared" si="5"/>
        <v>793.13886691192033</v>
      </c>
      <c r="AN49" s="62">
        <f ca="1">AVERAGE(OFFSET($AM$3,0,0,'Données projet'!$E$10+1,1))-AVERAGE(OFFSET($H$3,0,0,'Données projet'!$E$10+1,1))</f>
        <v>427.78067187784063</v>
      </c>
      <c r="AO49" s="62">
        <f t="shared" si="36"/>
        <v>464.22892523825118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10.375</v>
      </c>
      <c r="BD49" s="13">
        <f>IF('Données projet'!$A$88&gt;35,BD48+BC49-BL48,IF(A49&lt;'Données projet'!$A$88,$BA$205^A49,IF(A49='Données projet'!$A$88,'Données projet'!$B$88,BD48+BC49-BL48)))</f>
        <v>250.74999999999997</v>
      </c>
      <c r="BE49" s="14">
        <f>BD49*VLOOKUP('Données projet'!$B$11,Paramètres!$A$1:$I$89,3,0)*VLOOKUP('Données projet'!$B$11,Paramètres!$A$1:$I$89,5,0)</f>
        <v>195.58499999999998</v>
      </c>
      <c r="BF49" s="14">
        <f t="shared" si="37"/>
        <v>48.772627406236694</v>
      </c>
      <c r="BG49" s="22">
        <f t="shared" si="7"/>
        <v>425.58953439919554</v>
      </c>
      <c r="BH49" s="62">
        <f t="shared" si="8"/>
        <v>718.92286773252886</v>
      </c>
      <c r="BI49" s="62">
        <f ca="1">AVERAGE(OFFSET($BH$3,0,0,'Données projet'!$E$11+1,1))-AVERAGE(OFFSET($H$3,0,0,'Données projet'!$E$11+1,1))</f>
        <v>312.09994042858187</v>
      </c>
      <c r="BJ49" s="62">
        <f t="shared" si="38"/>
        <v>283.48738729114024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</v>
      </c>
      <c r="BY49" s="13">
        <f>IF('Données projet'!$A$114&gt;35,BY48+BX49-CG48,IF(A49&lt;'Données projet'!$A$114,$BV$205^A49,IF(A49='Données projet'!$A$114,'Données projet'!$B$114,BY48+BX49-CG48)))</f>
        <v>250.60000000000005</v>
      </c>
      <c r="BZ49" s="14">
        <f>BY49*VLOOKUP('Données projet'!$B$12,Paramètres!$A$1:$I$89,3,0)*VLOOKUP('Données projet'!$B$12,Paramètres!$A$1:$I$89,5,0)</f>
        <v>199.37736000000004</v>
      </c>
      <c r="CA49" s="14">
        <f t="shared" si="39"/>
        <v>49.607305476717805</v>
      </c>
      <c r="CB49" s="22">
        <f t="shared" si="10"/>
        <v>433.64829237195022</v>
      </c>
      <c r="CC49" s="62">
        <f t="shared" si="11"/>
        <v>726.98162570528348</v>
      </c>
      <c r="CD49" s="62">
        <f ca="1">AVERAGE(OFFSET($CC$3,0,0,'Données projet'!$E$12+1,1))-AVERAGE(OFFSET($H$3,0,0,'Données projet'!$E$12+1,1))</f>
        <v>370.79299728190904</v>
      </c>
      <c r="CE49" s="62">
        <f t="shared" si="40"/>
        <v>404.95703400805775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5.2564102564102537</v>
      </c>
      <c r="CT49" s="13">
        <f>IF('Données projet'!$A$140&gt;35,CT48+CS49-DB48,IF(A49&lt;'Données projet'!$A$140,$CQ$205^A49,IF(A49='Données projet'!$A$140,'Données projet'!$B$140,CT48+CS49-DB48)))</f>
        <v>151.41025641025641</v>
      </c>
      <c r="CU49" s="18">
        <f>CT49*VLOOKUP('Données projet'!$B$13,Paramètres!$A$1:$I$89,3,0)*VLOOKUP('Données projet'!$B$13,Paramètres!$A$1:$I$89,5,0)</f>
        <v>144.08199999999999</v>
      </c>
      <c r="CV49" s="14">
        <f t="shared" si="41"/>
        <v>37.230564467856809</v>
      </c>
      <c r="CW49" s="22">
        <f t="shared" si="13"/>
        <v>315.78604978151731</v>
      </c>
      <c r="CX49" s="62">
        <f t="shared" si="14"/>
        <v>609.11938311485062</v>
      </c>
      <c r="CY49" s="62">
        <f ca="1">AVERAGE(OFFSET($CX$3,0,0,'Données projet'!$E$13+1,1))-AVERAGE(OFFSET($H$3,0,0,'Données projet'!$E$13+1,1))</f>
        <v>351.34897243264044</v>
      </c>
      <c r="CZ49" s="62">
        <f t="shared" si="42"/>
        <v>268.39685058071603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5.8974358974358951</v>
      </c>
      <c r="DO49" s="13">
        <f>IF('Données projet'!$A$166&gt;35,DO48+DN49-DW48,IF(A49&lt;'Données projet'!$A$166,$DL$205^A49,IF(A49='Données projet'!$A$166,'Données projet'!$B$166,DO48+DN49-DW48)))</f>
        <v>180.25641025641022</v>
      </c>
      <c r="DP49" s="18">
        <f>DO49*VLOOKUP('Données projet'!$B$14,Paramètres!$A$1:$I$89,3,0)*VLOOKUP('Données projet'!$B$14,Paramètres!$A$1:$I$89,5,0)</f>
        <v>120.91599999999997</v>
      </c>
      <c r="DQ49" s="14">
        <f t="shared" si="43"/>
        <v>31.888546607645896</v>
      </c>
      <c r="DR49" s="22">
        <f t="shared" si="16"/>
        <v>266.13458534164994</v>
      </c>
      <c r="DS49" s="62">
        <f t="shared" si="17"/>
        <v>559.46791867498325</v>
      </c>
      <c r="DT49" s="62">
        <f ca="1">AVERAGE(OFFSET($DS$3,0,0,'Données projet'!$E$14+1,1))-AVERAGE(OFFSET($H$3,0,0,'Données projet'!$E$14+1,1))</f>
        <v>290.46086333591074</v>
      </c>
      <c r="DU49" s="62">
        <f t="shared" si="44"/>
        <v>236.8495901994267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7.6</v>
      </c>
      <c r="EJ49" s="13">
        <f>IF('Données projet'!$A$192&gt;35,EJ48+EI49-ER48,IF(A49&lt;'Données projet'!$A$192,$EG$205^A49,IF(A49='Données projet'!$A$192,'Données projet'!$B$192,EJ48+EI49-ER48)))</f>
        <v>197.6</v>
      </c>
      <c r="EK49" s="18">
        <f>EJ49*VLOOKUP('Données projet'!$B$15,Paramètres!$A$1:$I$89,3,0)*VLOOKUP('Données projet'!$B$15,Paramètres!$A$1:$I$89,5,0)</f>
        <v>160.29311999999999</v>
      </c>
      <c r="EL49" s="14">
        <f t="shared" si="45"/>
        <v>40.908622396455648</v>
      </c>
      <c r="EM49" s="22">
        <f t="shared" si="19"/>
        <v>350.42636800716019</v>
      </c>
      <c r="EN49" s="62">
        <f t="shared" si="20"/>
        <v>643.75970134049351</v>
      </c>
      <c r="EO49" s="62">
        <f ca="1">AVERAGE(OFFSET($EN$3,0,0,'Données projet'!$E$15+1,1))-AVERAGE(OFFSET($H$3,0,0,'Données projet'!$E$15+1,1))</f>
        <v>256.19915261735281</v>
      </c>
      <c r="EP49" s="62">
        <f t="shared" si="46"/>
        <v>297.47246687305056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15.666666666666666</v>
      </c>
      <c r="N50" s="14">
        <f>IF('Données projet'!$A$36&gt;35,N49+M50-V49,IF(A50&lt;'Données projet'!$A$36,$K$205^A50,IF(A50='Données projet'!$A$36,'Données projet'!$B$36,N49+M50-V49)))</f>
        <v>224.3333333333332</v>
      </c>
      <c r="O50" s="14">
        <f>N50*VLOOKUP('Données projet'!$B$9,Paramètres!$A$1:$I$89,3,0)*VLOOKUP('Données projet'!$B$9,Paramètres!$A$1:$I$89,5,0)</f>
        <v>192.47799999999989</v>
      </c>
      <c r="P50" s="14">
        <f t="shared" si="33"/>
        <v>48.087389626209038</v>
      </c>
      <c r="Q50" s="22">
        <f t="shared" si="53"/>
        <v>418.98472026564724</v>
      </c>
      <c r="R50" s="62">
        <f t="shared" si="0"/>
        <v>712.31805359898055</v>
      </c>
      <c r="S50" s="62">
        <f ca="1">AVERAGE(OFFSET($R$3,0,0,'Données projet'!$E$9+1,1))-AVERAGE(OFFSET($H$3,0,0,'Données projet'!$E$9+1,1))</f>
        <v>446.27304516866047</v>
      </c>
      <c r="T50" s="62">
        <f t="shared" si="34"/>
        <v>230.82970731138215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9.8000000000000007</v>
      </c>
      <c r="AI50" s="14">
        <f>IF('Données projet'!$A$62&gt;35,AI49+AH50-AQ49,IF(A50&lt;'Données projet'!$A$62,$AF$205^A50,IF(A50='Données projet'!$A$62,'Données projet'!$B$62,AI49+AH50-AQ49)))</f>
        <v>299.59999999999991</v>
      </c>
      <c r="AJ50" s="14">
        <f>AI50*VLOOKUP('Données projet'!$B$10,Paramètres!$A$1:$I$89,3,0)*VLOOKUP('Données projet'!$B$10,Paramètres!$A$1:$I$89,5,0)</f>
        <v>238.36175999999995</v>
      </c>
      <c r="AK50" s="14">
        <f t="shared" si="35"/>
        <v>58.086914779719081</v>
      </c>
      <c r="AL50" s="22">
        <f t="shared" si="4"/>
        <v>516.31477524134391</v>
      </c>
      <c r="AM50" s="62">
        <f t="shared" si="5"/>
        <v>809.64810857467728</v>
      </c>
      <c r="AN50" s="62">
        <f ca="1">AVERAGE(OFFSET($AM$3,0,0,'Données projet'!$E$10+1,1))-AVERAGE(OFFSET($H$3,0,0,'Données projet'!$E$10+1,1))</f>
        <v>427.78067187784063</v>
      </c>
      <c r="AO50" s="62">
        <f t="shared" si="36"/>
        <v>464.22892523825118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10.375</v>
      </c>
      <c r="BD50" s="13">
        <f>IF('Données projet'!$A$88&gt;35,BD49+BC50-BL49,IF(A50&lt;'Données projet'!$A$88,$BA$205^A50,IF(A50='Données projet'!$A$88,'Données projet'!$B$88,BD49+BC50-BL49)))</f>
        <v>261.125</v>
      </c>
      <c r="BE50" s="14">
        <f>BD50*VLOOKUP('Données projet'!$B$11,Paramètres!$A$1:$I$89,3,0)*VLOOKUP('Données projet'!$B$11,Paramètres!$A$1:$I$89,5,0)</f>
        <v>203.67750000000001</v>
      </c>
      <c r="BF50" s="14">
        <f t="shared" si="37"/>
        <v>50.551511879108084</v>
      </c>
      <c r="BG50" s="22">
        <f t="shared" si="7"/>
        <v>442.78219568944655</v>
      </c>
      <c r="BH50" s="62">
        <f t="shared" si="8"/>
        <v>736.11552902277981</v>
      </c>
      <c r="BI50" s="62">
        <f ca="1">AVERAGE(OFFSET($BH$3,0,0,'Données projet'!$E$11+1,1))-AVERAGE(OFFSET($H$3,0,0,'Données projet'!$E$11+1,1))</f>
        <v>312.09994042858187</v>
      </c>
      <c r="BJ50" s="62">
        <f t="shared" si="38"/>
        <v>283.48738729114024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</v>
      </c>
      <c r="BY50" s="13">
        <f>IF('Données projet'!$A$114&gt;35,BY49+BX50-CG49,IF(A50&lt;'Données projet'!$A$114,$BV$205^A50,IF(A50='Données projet'!$A$114,'Données projet'!$B$114,BY49+BX50-CG49)))</f>
        <v>259.20000000000005</v>
      </c>
      <c r="BZ50" s="14">
        <f>BY50*VLOOKUP('Données projet'!$B$12,Paramètres!$A$1:$I$89,3,0)*VLOOKUP('Données projet'!$B$12,Paramètres!$A$1:$I$89,5,0)</f>
        <v>206.21952000000007</v>
      </c>
      <c r="CA50" s="14">
        <f t="shared" si="39"/>
        <v>51.108584284640322</v>
      </c>
      <c r="CB50" s="22">
        <f t="shared" si="10"/>
        <v>448.17978162908202</v>
      </c>
      <c r="CC50" s="62">
        <f t="shared" si="11"/>
        <v>741.51311496241533</v>
      </c>
      <c r="CD50" s="62">
        <f ca="1">AVERAGE(OFFSET($CC$3,0,0,'Données projet'!$E$12+1,1))-AVERAGE(OFFSET($H$3,0,0,'Données projet'!$E$12+1,1))</f>
        <v>370.79299728190904</v>
      </c>
      <c r="CE50" s="62">
        <f t="shared" si="40"/>
        <v>404.95703400805775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5.2564102564102537</v>
      </c>
      <c r="CT50" s="13">
        <f>IF('Données projet'!$A$140&gt;35,CT49+CS50-DB49,IF(A50&lt;'Données projet'!$A$140,$CQ$205^A50,IF(A50='Données projet'!$A$140,'Données projet'!$B$140,CT49+CS50-DB49)))</f>
        <v>156.66666666666666</v>
      </c>
      <c r="CU50" s="18">
        <f>CT50*VLOOKUP('Données projet'!$B$13,Paramètres!$A$1:$I$89,3,0)*VLOOKUP('Données projet'!$B$13,Paramètres!$A$1:$I$89,5,0)</f>
        <v>149.084</v>
      </c>
      <c r="CV50" s="14">
        <f t="shared" si="41"/>
        <v>38.37034718198764</v>
      </c>
      <c r="CW50" s="22">
        <f t="shared" si="13"/>
        <v>326.48298800862847</v>
      </c>
      <c r="CX50" s="62">
        <f t="shared" si="14"/>
        <v>619.81632134196184</v>
      </c>
      <c r="CY50" s="62">
        <f ca="1">AVERAGE(OFFSET($CX$3,0,0,'Données projet'!$E$13+1,1))-AVERAGE(OFFSET($H$3,0,0,'Données projet'!$E$13+1,1))</f>
        <v>351.34897243264044</v>
      </c>
      <c r="CZ50" s="62">
        <f t="shared" si="42"/>
        <v>268.39685058071603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5.8974358974358951</v>
      </c>
      <c r="DO50" s="13">
        <f>IF('Données projet'!$A$166&gt;35,DO49+DN50-DW49,IF(A50&lt;'Données projet'!$A$166,$DL$205^A50,IF(A50='Données projet'!$A$166,'Données projet'!$B$166,DO49+DN50-DW49)))</f>
        <v>186.1538461538461</v>
      </c>
      <c r="DP50" s="18">
        <f>DO50*VLOOKUP('Données projet'!$B$14,Paramètres!$A$1:$I$89,3,0)*VLOOKUP('Données projet'!$B$14,Paramètres!$A$1:$I$89,5,0)</f>
        <v>124.87199999999997</v>
      </c>
      <c r="DQ50" s="14">
        <f t="shared" si="43"/>
        <v>32.808667984674223</v>
      </c>
      <c r="DR50" s="22">
        <f t="shared" si="16"/>
        <v>274.62716340664088</v>
      </c>
      <c r="DS50" s="62">
        <f t="shared" si="17"/>
        <v>567.96049673997413</v>
      </c>
      <c r="DT50" s="62">
        <f ca="1">AVERAGE(OFFSET($DS$3,0,0,'Données projet'!$E$14+1,1))-AVERAGE(OFFSET($H$3,0,0,'Données projet'!$E$14+1,1))</f>
        <v>290.46086333591074</v>
      </c>
      <c r="DU50" s="62">
        <f t="shared" si="44"/>
        <v>236.8495901994267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7.6</v>
      </c>
      <c r="EJ50" s="13">
        <f>IF('Données projet'!$A$192&gt;35,EJ49+EI50-ER49,IF(A50&lt;'Données projet'!$A$192,$EG$205^A50,IF(A50='Données projet'!$A$192,'Données projet'!$B$192,EJ49+EI50-ER49)))</f>
        <v>205.2</v>
      </c>
      <c r="EK50" s="18">
        <f>EJ50*VLOOKUP('Données projet'!$B$15,Paramètres!$A$1:$I$89,3,0)*VLOOKUP('Données projet'!$B$15,Paramètres!$A$1:$I$89,5,0)</f>
        <v>166.45823999999999</v>
      </c>
      <c r="EL50" s="14">
        <f t="shared" si="45"/>
        <v>42.295817799452642</v>
      </c>
      <c r="EM50" s="22">
        <f t="shared" si="19"/>
        <v>363.5799840007133</v>
      </c>
      <c r="EN50" s="62">
        <f t="shared" si="20"/>
        <v>656.91331733404661</v>
      </c>
      <c r="EO50" s="62">
        <f ca="1">AVERAGE(OFFSET($EN$3,0,0,'Données projet'!$E$15+1,1))-AVERAGE(OFFSET($H$3,0,0,'Données projet'!$E$15+1,1))</f>
        <v>256.19915261735281</v>
      </c>
      <c r="EP50" s="62">
        <f t="shared" si="46"/>
        <v>297.47246687305056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>
        <f>VLOOKUP(A51,'Données projet'!$A$35:$I$55,2,0)</f>
        <v>240</v>
      </c>
      <c r="L51" s="13">
        <f>VLOOKUP(A51,'Données projet'!$A$35:$I$55,9,0)</f>
        <v>15.666666666666666</v>
      </c>
      <c r="M51" s="13">
        <f t="array" ref="M51">INDEX(L:L,MIN(IF(ISNUMBER(L51:L247),ROW(L51:L247),"")))</f>
        <v>15.666666666666666</v>
      </c>
      <c r="N51" s="14">
        <f>IF('Données projet'!$A$36&gt;35,N50+M51-V50,IF(A51&lt;'Données projet'!$A$36,$K$205^A51,IF(A51='Données projet'!$A$36,'Données projet'!$B$36,N50+M51-V50)))</f>
        <v>239.99999999999986</v>
      </c>
      <c r="O51" s="14">
        <f>N51*VLOOKUP('Données projet'!$B$9,Paramètres!$A$1:$I$89,3,0)*VLOOKUP('Données projet'!$B$9,Paramètres!$A$1:$I$89,5,0)</f>
        <v>205.91999999999993</v>
      </c>
      <c r="P51" s="14">
        <f t="shared" si="33"/>
        <v>51.042987531485686</v>
      </c>
      <c r="Q51" s="22">
        <f t="shared" si="53"/>
        <v>447.5438699506708</v>
      </c>
      <c r="R51" s="62">
        <f t="shared" si="0"/>
        <v>740.87720328400405</v>
      </c>
      <c r="S51" s="62">
        <f ca="1">AVERAGE(OFFSET($R$3,0,0,'Données projet'!$E$9+1,1))-AVERAGE(OFFSET($H$3,0,0,'Données projet'!$E$9+1,1))</f>
        <v>446.27304516866047</v>
      </c>
      <c r="T51" s="62">
        <f t="shared" si="34"/>
        <v>230.82970731138215</v>
      </c>
      <c r="U51" s="16">
        <f>IF(ISNA(VLOOKUP(A51,'Données projet'!$A$35:$I$55,3,0)),0,VLOOKUP(A51,'Données projet'!$A$35:$I$55,3,0))</f>
        <v>5</v>
      </c>
      <c r="V51" s="16">
        <f>IF(ISNA(VLOOKUP(A51,'Données projet'!$A$35:$I$55,4,0)),0,VLOOKUP(A51,'Données projet'!$A$35:$I$55,4,0))</f>
        <v>63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9.8000000000000007</v>
      </c>
      <c r="AI51" s="14">
        <f>IF('Données projet'!$A$62&gt;35,AI50+AH51-AQ50,IF(A51&lt;'Données projet'!$A$62,$AF$205^A51,IF(A51='Données projet'!$A$62,'Données projet'!$B$62,AI50+AH51-AQ50)))</f>
        <v>309.39999999999992</v>
      </c>
      <c r="AJ51" s="14">
        <f>AI51*VLOOKUP('Données projet'!$B$10,Paramètres!$A$1:$I$89,3,0)*VLOOKUP('Données projet'!$B$10,Paramètres!$A$1:$I$89,5,0)</f>
        <v>246.15863999999993</v>
      </c>
      <c r="AK51" s="14">
        <f t="shared" si="35"/>
        <v>59.762631584626838</v>
      </c>
      <c r="AL51" s="22">
        <f t="shared" si="4"/>
        <v>532.81288134322483</v>
      </c>
      <c r="AM51" s="62">
        <f t="shared" si="5"/>
        <v>826.1462146765582</v>
      </c>
      <c r="AN51" s="62">
        <f ca="1">AVERAGE(OFFSET($AM$3,0,0,'Données projet'!$E$10+1,1))-AVERAGE(OFFSET($H$3,0,0,'Données projet'!$E$10+1,1))</f>
        <v>427.78067187784063</v>
      </c>
      <c r="AO51" s="62">
        <f t="shared" si="36"/>
        <v>464.22892523825118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10.375</v>
      </c>
      <c r="BD51" s="13">
        <f>IF('Données projet'!$A$88&gt;35,BD50+BC51-BL50,IF(A51&lt;'Données projet'!$A$88,$BA$205^A51,IF(A51='Données projet'!$A$88,'Données projet'!$B$88,BD50+BC51-BL50)))</f>
        <v>271.5</v>
      </c>
      <c r="BE51" s="14">
        <f>BD51*VLOOKUP('Données projet'!$B$11,Paramètres!$A$1:$I$89,3,0)*VLOOKUP('Données projet'!$B$11,Paramètres!$A$1:$I$89,5,0)</f>
        <v>211.77</v>
      </c>
      <c r="BF51" s="14">
        <f t="shared" si="37"/>
        <v>52.322186086489118</v>
      </c>
      <c r="BG51" s="22">
        <f t="shared" si="7"/>
        <v>459.96055743396852</v>
      </c>
      <c r="BH51" s="62">
        <f t="shared" si="8"/>
        <v>753.29389076730183</v>
      </c>
      <c r="BI51" s="62">
        <f ca="1">AVERAGE(OFFSET($BH$3,0,0,'Données projet'!$E$11+1,1))-AVERAGE(OFFSET($H$3,0,0,'Données projet'!$E$11+1,1))</f>
        <v>312.09994042858187</v>
      </c>
      <c r="BJ51" s="62">
        <f t="shared" si="38"/>
        <v>283.48738729114024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</v>
      </c>
      <c r="BY51" s="13">
        <f>IF('Données projet'!$A$114&gt;35,BY50+BX51-CG50,IF(A51&lt;'Données projet'!$A$114,$BV$205^A51,IF(A51='Données projet'!$A$114,'Données projet'!$B$114,BY50+BX51-CG50)))</f>
        <v>267.80000000000007</v>
      </c>
      <c r="BZ51" s="14">
        <f>BY51*VLOOKUP('Données projet'!$B$12,Paramètres!$A$1:$I$89,3,0)*VLOOKUP('Données projet'!$B$12,Paramètres!$A$1:$I$89,5,0)</f>
        <v>213.06168000000005</v>
      </c>
      <c r="CA51" s="14">
        <f t="shared" si="39"/>
        <v>52.604075157965084</v>
      </c>
      <c r="CB51" s="22">
        <f t="shared" si="10"/>
        <v>462.70119023345586</v>
      </c>
      <c r="CC51" s="62">
        <f t="shared" si="11"/>
        <v>756.03452356678918</v>
      </c>
      <c r="CD51" s="62">
        <f ca="1">AVERAGE(OFFSET($CC$3,0,0,'Données projet'!$E$12+1,1))-AVERAGE(OFFSET($H$3,0,0,'Données projet'!$E$12+1,1))</f>
        <v>370.79299728190904</v>
      </c>
      <c r="CE51" s="62">
        <f t="shared" si="40"/>
        <v>404.95703400805775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5.2564102564102537</v>
      </c>
      <c r="CT51" s="13">
        <f>IF('Données projet'!$A$140&gt;35,CT50+CS51-DB50,IF(A51&lt;'Données projet'!$A$140,$CQ$205^A51,IF(A51='Données projet'!$A$140,'Données projet'!$B$140,CT50+CS51-DB50)))</f>
        <v>161.92307692307691</v>
      </c>
      <c r="CU51" s="18">
        <f>CT51*VLOOKUP('Données projet'!$B$13,Paramètres!$A$1:$I$89,3,0)*VLOOKUP('Données projet'!$B$13,Paramètres!$A$1:$I$89,5,0)</f>
        <v>154.08599999999998</v>
      </c>
      <c r="CV51" s="14">
        <f t="shared" si="41"/>
        <v>39.505686387635095</v>
      </c>
      <c r="CW51" s="22">
        <f t="shared" si="13"/>
        <v>337.17218712513107</v>
      </c>
      <c r="CX51" s="62">
        <f t="shared" si="14"/>
        <v>630.50552045846439</v>
      </c>
      <c r="CY51" s="62">
        <f ca="1">AVERAGE(OFFSET($CX$3,0,0,'Données projet'!$E$13+1,1))-AVERAGE(OFFSET($H$3,0,0,'Données projet'!$E$13+1,1))</f>
        <v>351.34897243264044</v>
      </c>
      <c r="CZ51" s="62">
        <f t="shared" si="42"/>
        <v>268.39685058071603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5.8974358974358951</v>
      </c>
      <c r="DO51" s="13">
        <f>IF('Données projet'!$A$166&gt;35,DO50+DN51-DW50,IF(A51&lt;'Données projet'!$A$166,$DL$205^A51,IF(A51='Données projet'!$A$166,'Données projet'!$B$166,DO50+DN51-DW50)))</f>
        <v>192.05128205128199</v>
      </c>
      <c r="DP51" s="18">
        <f>DO51*VLOOKUP('Données projet'!$B$14,Paramètres!$A$1:$I$89,3,0)*VLOOKUP('Données projet'!$B$14,Paramètres!$A$1:$I$89,5,0)</f>
        <v>128.82799999999995</v>
      </c>
      <c r="DQ51" s="14">
        <f t="shared" si="43"/>
        <v>33.725401968840814</v>
      </c>
      <c r="DR51" s="22">
        <f t="shared" si="16"/>
        <v>283.11384176239767</v>
      </c>
      <c r="DS51" s="62">
        <f t="shared" si="17"/>
        <v>576.44717509573093</v>
      </c>
      <c r="DT51" s="62">
        <f ca="1">AVERAGE(OFFSET($DS$3,0,0,'Données projet'!$E$14+1,1))-AVERAGE(OFFSET($H$3,0,0,'Données projet'!$E$14+1,1))</f>
        <v>290.46086333591074</v>
      </c>
      <c r="DU51" s="62">
        <f t="shared" si="44"/>
        <v>236.8495901994267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7.6</v>
      </c>
      <c r="EJ51" s="13">
        <f>IF('Données projet'!$A$192&gt;35,EJ50+EI51-ER50,IF(A51&lt;'Données projet'!$A$192,$EG$205^A51,IF(A51='Données projet'!$A$192,'Données projet'!$B$192,EJ50+EI51-ER50)))</f>
        <v>212.79999999999998</v>
      </c>
      <c r="EK51" s="18">
        <f>EJ51*VLOOKUP('Données projet'!$B$15,Paramètres!$A$1:$I$89,3,0)*VLOOKUP('Données projet'!$B$15,Paramètres!$A$1:$I$89,5,0)</f>
        <v>172.62335999999999</v>
      </c>
      <c r="EL51" s="14">
        <f t="shared" si="45"/>
        <v>43.67704427998607</v>
      </c>
      <c r="EM51" s="22">
        <f t="shared" si="19"/>
        <v>376.72320412097571</v>
      </c>
      <c r="EN51" s="62">
        <f t="shared" si="20"/>
        <v>670.05653745430902</v>
      </c>
      <c r="EO51" s="62">
        <f ca="1">AVERAGE(OFFSET($EN$3,0,0,'Données projet'!$E$15+1,1))-AVERAGE(OFFSET($H$3,0,0,'Données projet'!$E$15+1,1))</f>
        <v>256.19915261735281</v>
      </c>
      <c r="EP51" s="62">
        <f t="shared" si="46"/>
        <v>297.47246687305056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15.5</v>
      </c>
      <c r="N52" s="14">
        <f>IF('Données projet'!$A$36&gt;35,N51+M52-V51,IF(A52&lt;'Données projet'!$A$36,$K$205^A52,IF(A52='Données projet'!$A$36,'Données projet'!$B$36,N51+M52-V51)))</f>
        <v>192.49999999999986</v>
      </c>
      <c r="O52" s="14">
        <f>N52*VLOOKUP('Données projet'!$B$9,Paramètres!$A$1:$I$89,3,0)*VLOOKUP('Données projet'!$B$9,Paramètres!$A$1:$I$89,5,0)</f>
        <v>165.16499999999991</v>
      </c>
      <c r="P52" s="14">
        <f t="shared" si="33"/>
        <v>42.00533269839395</v>
      </c>
      <c r="Q52" s="22">
        <f t="shared" si="53"/>
        <v>360.82166278303589</v>
      </c>
      <c r="R52" s="62">
        <f t="shared" si="0"/>
        <v>654.15499611636915</v>
      </c>
      <c r="S52" s="62">
        <f ca="1">AVERAGE(OFFSET($R$3,0,0,'Données projet'!$E$9+1,1))-AVERAGE(OFFSET($H$3,0,0,'Données projet'!$E$9+1,1))</f>
        <v>446.27304516866047</v>
      </c>
      <c r="T52" s="62">
        <f t="shared" si="34"/>
        <v>230.82970731138215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9.8000000000000007</v>
      </c>
      <c r="AI52" s="14">
        <f>IF('Données projet'!$A$62&gt;35,AI51+AH52-AQ51,IF(A52&lt;'Données projet'!$A$62,$AF$205^A52,IF(A52='Données projet'!$A$62,'Données projet'!$B$62,AI51+AH52-AQ51)))</f>
        <v>319.19999999999993</v>
      </c>
      <c r="AJ52" s="14">
        <f>AI52*VLOOKUP('Données projet'!$B$10,Paramètres!$A$1:$I$89,3,0)*VLOOKUP('Données projet'!$B$10,Paramètres!$A$1:$I$89,5,0)</f>
        <v>253.95551999999998</v>
      </c>
      <c r="AK52" s="14">
        <f t="shared" si="35"/>
        <v>61.432180511879253</v>
      </c>
      <c r="AL52" s="22">
        <f t="shared" si="4"/>
        <v>549.30024505818972</v>
      </c>
      <c r="AM52" s="62">
        <f t="shared" si="5"/>
        <v>842.63357839152309</v>
      </c>
      <c r="AN52" s="62">
        <f ca="1">AVERAGE(OFFSET($AM$3,0,0,'Données projet'!$E$10+1,1))-AVERAGE(OFFSET($H$3,0,0,'Données projet'!$E$10+1,1))</f>
        <v>427.78067187784063</v>
      </c>
      <c r="AO52" s="62">
        <f t="shared" si="36"/>
        <v>464.22892523825118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10.375</v>
      </c>
      <c r="BD52" s="13">
        <f>IF('Données projet'!$A$88&gt;35,BD51+BC52-BL51,IF(A52&lt;'Données projet'!$A$88,$BA$205^A52,IF(A52='Données projet'!$A$88,'Données projet'!$B$88,BD51+BC52-BL51)))</f>
        <v>281.875</v>
      </c>
      <c r="BE52" s="14">
        <f>BD52*VLOOKUP('Données projet'!$B$11,Paramètres!$A$1:$I$89,3,0)*VLOOKUP('Données projet'!$B$11,Paramètres!$A$1:$I$89,5,0)</f>
        <v>219.86250000000001</v>
      </c>
      <c r="BF52" s="14">
        <f t="shared" si="37"/>
        <v>54.08499968763897</v>
      </c>
      <c r="BG52" s="22">
        <f t="shared" si="7"/>
        <v>477.12522862263791</v>
      </c>
      <c r="BH52" s="62">
        <f t="shared" si="8"/>
        <v>770.45856195597116</v>
      </c>
      <c r="BI52" s="62">
        <f ca="1">AVERAGE(OFFSET($BH$3,0,0,'Données projet'!$E$11+1,1))-AVERAGE(OFFSET($H$3,0,0,'Données projet'!$E$11+1,1))</f>
        <v>312.09994042858187</v>
      </c>
      <c r="BJ52" s="62">
        <f t="shared" si="38"/>
        <v>283.48738729114024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</v>
      </c>
      <c r="BY52" s="13">
        <f>IF('Données projet'!$A$114&gt;35,BY51+BX52-CG51,IF(A52&lt;'Données projet'!$A$114,$BV$205^A52,IF(A52='Données projet'!$A$114,'Données projet'!$B$114,BY51+BX52-CG51)))</f>
        <v>276.40000000000009</v>
      </c>
      <c r="BZ52" s="14">
        <f>BY52*VLOOKUP('Données projet'!$B$12,Paramètres!$A$1:$I$89,3,0)*VLOOKUP('Données projet'!$B$12,Paramètres!$A$1:$I$89,5,0)</f>
        <v>219.90384000000009</v>
      </c>
      <c r="CA52" s="14">
        <f t="shared" si="39"/>
        <v>54.093985287951313</v>
      </c>
      <c r="CB52" s="22">
        <f t="shared" si="10"/>
        <v>477.212879043182</v>
      </c>
      <c r="CC52" s="62">
        <f t="shared" si="11"/>
        <v>770.54621237651531</v>
      </c>
      <c r="CD52" s="62">
        <f ca="1">AVERAGE(OFFSET($CC$3,0,0,'Données projet'!$E$12+1,1))-AVERAGE(OFFSET($H$3,0,0,'Données projet'!$E$12+1,1))</f>
        <v>370.79299728190904</v>
      </c>
      <c r="CE52" s="62">
        <f t="shared" si="40"/>
        <v>404.95703400805775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5.2564102564102537</v>
      </c>
      <c r="CT52" s="13">
        <f>IF('Données projet'!$A$140&gt;35,CT51+CS52-DB51,IF(A52&lt;'Données projet'!$A$140,$CQ$205^A52,IF(A52='Données projet'!$A$140,'Données projet'!$B$140,CT51+CS52-DB51)))</f>
        <v>167.17948717948715</v>
      </c>
      <c r="CU52" s="18">
        <f>CT52*VLOOKUP('Données projet'!$B$13,Paramètres!$A$1:$I$89,3,0)*VLOOKUP('Données projet'!$B$13,Paramètres!$A$1:$I$89,5,0)</f>
        <v>159.08799999999999</v>
      </c>
      <c r="CV52" s="14">
        <f t="shared" si="41"/>
        <v>40.636742875519722</v>
      </c>
      <c r="CW52" s="22">
        <f t="shared" si="13"/>
        <v>347.85392717486349</v>
      </c>
      <c r="CX52" s="62">
        <f t="shared" si="14"/>
        <v>641.1872605081968</v>
      </c>
      <c r="CY52" s="62">
        <f ca="1">AVERAGE(OFFSET($CX$3,0,0,'Données projet'!$E$13+1,1))-AVERAGE(OFFSET($H$3,0,0,'Données projet'!$E$13+1,1))</f>
        <v>351.34897243264044</v>
      </c>
      <c r="CZ52" s="62">
        <f t="shared" si="42"/>
        <v>268.39685058071603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5.8974358974358951</v>
      </c>
      <c r="DO52" s="13">
        <f>IF('Données projet'!$A$166&gt;35,DO51+DN52-DW51,IF(A52&lt;'Données projet'!$A$166,$DL$205^A52,IF(A52='Données projet'!$A$166,'Données projet'!$B$166,DO51+DN52-DW51)))</f>
        <v>197.94871794871787</v>
      </c>
      <c r="DP52" s="18">
        <f>DO52*VLOOKUP('Données projet'!$B$14,Paramètres!$A$1:$I$89,3,0)*VLOOKUP('Données projet'!$B$14,Paramètres!$A$1:$I$89,5,0)</f>
        <v>132.78399999999993</v>
      </c>
      <c r="DQ52" s="14">
        <f t="shared" si="43"/>
        <v>34.63886451634189</v>
      </c>
      <c r="DR52" s="22">
        <f t="shared" si="16"/>
        <v>291.59482236596199</v>
      </c>
      <c r="DS52" s="62">
        <f t="shared" si="17"/>
        <v>584.9281556992953</v>
      </c>
      <c r="DT52" s="62">
        <f ca="1">AVERAGE(OFFSET($DS$3,0,0,'Données projet'!$E$14+1,1))-AVERAGE(OFFSET($H$3,0,0,'Données projet'!$E$14+1,1))</f>
        <v>290.46086333591074</v>
      </c>
      <c r="DU52" s="62">
        <f t="shared" si="44"/>
        <v>236.8495901994267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7.6</v>
      </c>
      <c r="EJ52" s="13">
        <f>IF('Données projet'!$A$192&gt;35,EJ51+EI52-ER51,IF(A52&lt;'Données projet'!$A$192,$EG$205^A52,IF(A52='Données projet'!$A$192,'Données projet'!$B$192,EJ51+EI52-ER51)))</f>
        <v>220.39999999999998</v>
      </c>
      <c r="EK52" s="18">
        <f>EJ52*VLOOKUP('Données projet'!$B$15,Paramètres!$A$1:$I$89,3,0)*VLOOKUP('Données projet'!$B$15,Paramètres!$A$1:$I$89,5,0)</f>
        <v>178.78847999999999</v>
      </c>
      <c r="EL52" s="14">
        <f t="shared" si="45"/>
        <v>45.052539436241446</v>
      </c>
      <c r="EM52" s="22">
        <f t="shared" si="19"/>
        <v>389.85644218478711</v>
      </c>
      <c r="EN52" s="62">
        <f t="shared" si="20"/>
        <v>683.18977551812043</v>
      </c>
      <c r="EO52" s="62">
        <f ca="1">AVERAGE(OFFSET($EN$3,0,0,'Données projet'!$E$15+1,1))-AVERAGE(OFFSET($H$3,0,0,'Données projet'!$E$15+1,1))</f>
        <v>256.19915261735281</v>
      </c>
      <c r="EP52" s="62">
        <f t="shared" si="46"/>
        <v>297.47246687305056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15.5</v>
      </c>
      <c r="N53" s="14">
        <f>IF('Données projet'!$A$36&gt;35,N52+M53-V52,IF(A53&lt;'Données projet'!$A$36,$K$205^A53,IF(A53='Données projet'!$A$36,'Données projet'!$B$36,N52+M53-V52)))</f>
        <v>207.99999999999986</v>
      </c>
      <c r="O53" s="14">
        <f>N53*VLOOKUP('Données projet'!$B$9,Paramètres!$A$1:$I$89,3,0)*VLOOKUP('Données projet'!$B$9,Paramètres!$A$1:$I$89,5,0)</f>
        <v>178.46399999999991</v>
      </c>
      <c r="P53" s="14">
        <f t="shared" si="33"/>
        <v>44.980284206661821</v>
      </c>
      <c r="Q53" s="22">
        <f t="shared" si="53"/>
        <v>389.16546165993583</v>
      </c>
      <c r="R53" s="62">
        <f t="shared" si="0"/>
        <v>682.49879499326914</v>
      </c>
      <c r="S53" s="62">
        <f ca="1">AVERAGE(OFFSET($R$3,0,0,'Données projet'!$E$9+1,1))-AVERAGE(OFFSET($H$3,0,0,'Données projet'!$E$9+1,1))</f>
        <v>446.27304516866047</v>
      </c>
      <c r="T53" s="62">
        <f t="shared" si="34"/>
        <v>230.82970731138215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329</v>
      </c>
      <c r="AG53" s="13">
        <f>VLOOKUP(A53,'Données projet'!$A$61:$I$81,9,0)</f>
        <v>9.8000000000000007</v>
      </c>
      <c r="AH53" s="13">
        <f t="array" ref="AH53">INDEX(AG:AG,MIN(IF(ISNUMBER(AG53:AG249),ROW(AG53:AG249),"")))</f>
        <v>9.8000000000000007</v>
      </c>
      <c r="AI53" s="14">
        <f>IF('Données projet'!$A$62&gt;35,AI52+AH53-AQ52,IF(A53&lt;'Données projet'!$A$62,$AF$205^A53,IF(A53='Données projet'!$A$62,'Données projet'!$B$62,AI52+AH53-AQ52)))</f>
        <v>328.99999999999994</v>
      </c>
      <c r="AJ53" s="14">
        <f>AI53*VLOOKUP('Données projet'!$B$10,Paramètres!$A$1:$I$89,3,0)*VLOOKUP('Données projet'!$B$10,Paramètres!$A$1:$I$89,5,0)</f>
        <v>261.75239999999997</v>
      </c>
      <c r="AK53" s="14">
        <f t="shared" si="35"/>
        <v>63.095772658160975</v>
      </c>
      <c r="AL53" s="22">
        <f t="shared" si="4"/>
        <v>565.77723404629694</v>
      </c>
      <c r="AM53" s="62">
        <f t="shared" si="5"/>
        <v>859.11056737963031</v>
      </c>
      <c r="AN53" s="62">
        <f ca="1">AVERAGE(OFFSET($AM$3,0,0,'Données projet'!$E$10+1,1))-AVERAGE(OFFSET($H$3,0,0,'Données projet'!$E$10+1,1))</f>
        <v>427.78067187784063</v>
      </c>
      <c r="AO53" s="62">
        <f t="shared" si="36"/>
        <v>464.22892523825118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47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10.375</v>
      </c>
      <c r="BD53" s="13">
        <f>IF('Données projet'!$A$88&gt;35,BD52+BC53-BL52,IF(A53&lt;'Données projet'!$A$88,$BA$205^A53,IF(A53='Données projet'!$A$88,'Données projet'!$B$88,BD52+BC53-BL52)))</f>
        <v>292.25</v>
      </c>
      <c r="BE53" s="14">
        <f>BD53*VLOOKUP('Données projet'!$B$11,Paramètres!$A$1:$I$89,3,0)*VLOOKUP('Données projet'!$B$11,Paramètres!$A$1:$I$89,5,0)</f>
        <v>227.95500000000001</v>
      </c>
      <c r="BF53" s="14">
        <f t="shared" si="37"/>
        <v>55.840275143394436</v>
      </c>
      <c r="BG53" s="22">
        <f t="shared" si="7"/>
        <v>494.27677087474535</v>
      </c>
      <c r="BH53" s="62">
        <f t="shared" si="8"/>
        <v>787.61010420807861</v>
      </c>
      <c r="BI53" s="62">
        <f ca="1">AVERAGE(OFFSET($BH$3,0,0,'Données projet'!$E$11+1,1))-AVERAGE(OFFSET($H$3,0,0,'Données projet'!$E$11+1,1))</f>
        <v>312.09994042858187</v>
      </c>
      <c r="BJ53" s="62">
        <f t="shared" si="38"/>
        <v>283.48738729114024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285</v>
      </c>
      <c r="BW53" s="13">
        <f>VLOOKUP(A53,'Données projet'!$A$113:$I$133,9,0)</f>
        <v>8.6</v>
      </c>
      <c r="BX53" s="13">
        <f t="array" ref="BX53">INDEX(BW:BW,MIN(IF(ISNUMBER(BW53:BW249),ROW(BW53:BW249),"")))</f>
        <v>8.6</v>
      </c>
      <c r="BY53" s="13">
        <f>IF('Données projet'!$A$114&gt;35,BY52+BX53-CG52,IF(A53&lt;'Données projet'!$A$114,$BV$205^A53,IF(A53='Données projet'!$A$114,'Données projet'!$B$114,BY52+BX53-CG52)))</f>
        <v>285.00000000000011</v>
      </c>
      <c r="BZ53" s="14">
        <f>BY53*VLOOKUP('Données projet'!$B$12,Paramètres!$A$1:$I$89,3,0)*VLOOKUP('Données projet'!$B$12,Paramètres!$A$1:$I$89,5,0)</f>
        <v>226.74600000000009</v>
      </c>
      <c r="CA53" s="14">
        <f t="shared" si="39"/>
        <v>55.578508240245966</v>
      </c>
      <c r="CB53" s="22">
        <f t="shared" si="10"/>
        <v>491.71518518509515</v>
      </c>
      <c r="CC53" s="62">
        <f t="shared" si="11"/>
        <v>785.04851851842841</v>
      </c>
      <c r="CD53" s="62">
        <f ca="1">AVERAGE(OFFSET($CC$3,0,0,'Données projet'!$E$12+1,1))-AVERAGE(OFFSET($H$3,0,0,'Données projet'!$E$12+1,1))</f>
        <v>370.79299728190904</v>
      </c>
      <c r="CE53" s="62">
        <f t="shared" si="40"/>
        <v>404.95703400805775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43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172.43589743589743</v>
      </c>
      <c r="CR53" s="13">
        <f>VLOOKUP(A53,'Données projet'!$A$139:$I$159,9,0)</f>
        <v>5.2564102564102537</v>
      </c>
      <c r="CS53" s="13">
        <f t="array" ref="CS53">INDEX(CR:CR,MIN(IF(ISNUMBER(CR53:CR249),ROW(CR53:CR249),"")))</f>
        <v>5.2564102564102537</v>
      </c>
      <c r="CT53" s="13">
        <f>IF('Données projet'!$A$140&gt;35,CT52+CS53-DB52,IF(A53&lt;'Données projet'!$A$140,$CQ$205^A53,IF(A53='Données projet'!$A$140,'Données projet'!$B$140,CT52+CS53-DB52)))</f>
        <v>172.4358974358974</v>
      </c>
      <c r="CU53" s="18">
        <f>CT53*VLOOKUP('Données projet'!$B$13,Paramètres!$A$1:$I$89,3,0)*VLOOKUP('Données projet'!$B$13,Paramètres!$A$1:$I$89,5,0)</f>
        <v>164.08999999999997</v>
      </c>
      <c r="CV53" s="14">
        <f t="shared" si="41"/>
        <v>41.76366675103705</v>
      </c>
      <c r="CW53" s="22">
        <f t="shared" si="13"/>
        <v>358.52846959138947</v>
      </c>
      <c r="CX53" s="62">
        <f t="shared" si="14"/>
        <v>651.86180292472272</v>
      </c>
      <c r="CY53" s="62">
        <f ca="1">AVERAGE(OFFSET($CX$3,0,0,'Données projet'!$E$13+1,1))-AVERAGE(OFFSET($H$3,0,0,'Données projet'!$E$13+1,1))</f>
        <v>351.34897243264044</v>
      </c>
      <c r="CZ53" s="62">
        <f t="shared" si="42"/>
        <v>268.39685058071603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28.205128205128204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203.84615384615384</v>
      </c>
      <c r="DM53" s="13">
        <f>VLOOKUP(A53,'Données projet'!$A$165:$I$185,9,0)</f>
        <v>5.8974358974358951</v>
      </c>
      <c r="DN53" s="13">
        <f t="array" ref="DN53">INDEX(DM:DM,MIN(IF(ISNUMBER(DM53:DM249),ROW(DM53:DM249),"")))</f>
        <v>5.8974358974358951</v>
      </c>
      <c r="DO53" s="13">
        <f>IF('Données projet'!$A$166&gt;35,DO52+DN53-DW52,IF(A53&lt;'Données projet'!$A$166,$DL$205^A53,IF(A53='Données projet'!$A$166,'Données projet'!$B$166,DO52+DN53-DW52)))</f>
        <v>203.84615384615375</v>
      </c>
      <c r="DP53" s="18">
        <f>DO53*VLOOKUP('Données projet'!$B$14,Paramètres!$A$1:$I$89,3,0)*VLOOKUP('Données projet'!$B$14,Paramètres!$A$1:$I$89,5,0)</f>
        <v>136.73999999999995</v>
      </c>
      <c r="DQ53" s="14">
        <f t="shared" si="43"/>
        <v>35.549164281335401</v>
      </c>
      <c r="DR53" s="22">
        <f t="shared" si="16"/>
        <v>300.07029445665904</v>
      </c>
      <c r="DS53" s="62">
        <f t="shared" si="17"/>
        <v>593.40362778999236</v>
      </c>
      <c r="DT53" s="62">
        <f ca="1">AVERAGE(OFFSET($DS$3,0,0,'Données projet'!$E$14+1,1))-AVERAGE(OFFSET($H$3,0,0,'Données projet'!$E$14+1,1))</f>
        <v>290.46086333591074</v>
      </c>
      <c r="DU53" s="62">
        <f t="shared" si="44"/>
        <v>236.8495901994267</v>
      </c>
      <c r="DV53" s="16">
        <f>IF(ISNA(VLOOKUP(A53,'Données projet'!$A$165:$I$185,3,0)),0,VLOOKUP(A53,'Données projet'!$A$165:$I$185,3,0))</f>
        <v>4</v>
      </c>
      <c r="DW53" s="16">
        <f>IF(ISNA(VLOOKUP(A53,'Données projet'!$A$165:$I$185,4,0)),0,VLOOKUP(A53,'Données projet'!$A$165:$I$185,4,0))</f>
        <v>30.769230769230766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228</v>
      </c>
      <c r="EH53" s="13">
        <f>VLOOKUP(A53,'Données projet'!$A$191:$I$211,9,0)</f>
        <v>7.6</v>
      </c>
      <c r="EI53" s="13">
        <f t="array" ref="EI53">INDEX(EH:EH,MIN(IF(ISNUMBER(EH53:EH249),ROW(EH53:EH249),"")))</f>
        <v>7.6</v>
      </c>
      <c r="EJ53" s="13">
        <f>IF('Données projet'!$A$192&gt;35,EJ52+EI53-ER52,IF(A53&lt;'Données projet'!$A$192,$EG$205^A53,IF(A53='Données projet'!$A$192,'Données projet'!$B$192,EJ52+EI53-ER52)))</f>
        <v>227.99999999999997</v>
      </c>
      <c r="EK53" s="18">
        <f>EJ53*VLOOKUP('Données projet'!$B$15,Paramètres!$A$1:$I$89,3,0)*VLOOKUP('Données projet'!$B$15,Paramètres!$A$1:$I$89,5,0)</f>
        <v>184.95359999999999</v>
      </c>
      <c r="EL53" s="14">
        <f t="shared" si="45"/>
        <v>46.42252355095799</v>
      </c>
      <c r="EM53" s="22">
        <f t="shared" si="19"/>
        <v>402.98008185125178</v>
      </c>
      <c r="EN53" s="62">
        <f t="shared" si="20"/>
        <v>696.3134151845851</v>
      </c>
      <c r="EO53" s="62">
        <f ca="1">AVERAGE(OFFSET($EN$3,0,0,'Données projet'!$E$15+1,1))-AVERAGE(OFFSET($H$3,0,0,'Données projet'!$E$15+1,1))</f>
        <v>256.19915261735281</v>
      </c>
      <c r="EP53" s="62">
        <f t="shared" si="46"/>
        <v>297.47246687305056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15.5</v>
      </c>
      <c r="N54" s="14">
        <f>IF('Données projet'!$A$36&gt;35,N53+M54-V53,IF(A54&lt;'Données projet'!$A$36,$K$205^A54,IF(A54='Données projet'!$A$36,'Données projet'!$B$36,N53+M54-V53)))</f>
        <v>223.49999999999986</v>
      </c>
      <c r="O54" s="14">
        <f>N54*VLOOKUP('Données projet'!$B$9,Paramètres!$A$1:$I$89,3,0)*VLOOKUP('Données projet'!$B$9,Paramètres!$A$1:$I$89,5,0)</f>
        <v>191.76299999999989</v>
      </c>
      <c r="P54" s="14">
        <f t="shared" si="33"/>
        <v>47.929517351413239</v>
      </c>
      <c r="Q54" s="22">
        <f t="shared" si="53"/>
        <v>417.46446772037785</v>
      </c>
      <c r="R54" s="62">
        <f t="shared" si="0"/>
        <v>710.79780105371117</v>
      </c>
      <c r="S54" s="62">
        <f ca="1">AVERAGE(OFFSET($R$3,0,0,'Données projet'!$E$9+1,1))-AVERAGE(OFFSET($H$3,0,0,'Données projet'!$E$9+1,1))</f>
        <v>446.27304516866047</v>
      </c>
      <c r="T54" s="62">
        <f t="shared" si="34"/>
        <v>230.82970731138215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8.4</v>
      </c>
      <c r="AI54" s="14">
        <f>IF('Données projet'!$A$62&gt;35,AI53+AH54-AQ53,IF(A54&lt;'Données projet'!$A$62,$AF$205^A54,IF(A54='Données projet'!$A$62,'Données projet'!$B$62,AI53+AH54-AQ53)))</f>
        <v>290.39999999999992</v>
      </c>
      <c r="AJ54" s="14">
        <f>AI54*VLOOKUP('Données projet'!$B$10,Paramètres!$A$1:$I$89,3,0)*VLOOKUP('Données projet'!$B$10,Paramètres!$A$1:$I$89,5,0)</f>
        <v>231.04223999999994</v>
      </c>
      <c r="AK54" s="14">
        <f t="shared" si="35"/>
        <v>56.507978852931409</v>
      </c>
      <c r="AL54" s="22">
        <f t="shared" si="4"/>
        <v>500.81663116885539</v>
      </c>
      <c r="AM54" s="62">
        <f t="shared" si="5"/>
        <v>794.14996450218871</v>
      </c>
      <c r="AN54" s="62">
        <f ca="1">AVERAGE(OFFSET($AM$3,0,0,'Données projet'!$E$10+1,1))-AVERAGE(OFFSET($H$3,0,0,'Données projet'!$E$10+1,1))</f>
        <v>427.78067187784063</v>
      </c>
      <c r="AO54" s="62">
        <f t="shared" si="36"/>
        <v>464.22892523825118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10.375</v>
      </c>
      <c r="BD54" s="13">
        <f>IF('Données projet'!$A$88&gt;35,BD53+BC54-BL53,IF(A54&lt;'Données projet'!$A$88,$BA$205^A54,IF(A54='Données projet'!$A$88,'Données projet'!$B$88,BD53+BC54-BL53)))</f>
        <v>302.625</v>
      </c>
      <c r="BE54" s="14">
        <f>BD54*VLOOKUP('Données projet'!$B$11,Paramètres!$A$1:$I$89,3,0)*VLOOKUP('Données projet'!$B$11,Paramètres!$A$1:$I$89,5,0)</f>
        <v>236.04750000000001</v>
      </c>
      <c r="BF54" s="14">
        <f t="shared" si="37"/>
        <v>57.588310721608849</v>
      </c>
      <c r="BG54" s="22">
        <f t="shared" si="7"/>
        <v>511.41570367346873</v>
      </c>
      <c r="BH54" s="62">
        <f t="shared" si="8"/>
        <v>804.74903700680204</v>
      </c>
      <c r="BI54" s="62">
        <f ca="1">AVERAGE(OFFSET($BH$3,0,0,'Données projet'!$E$11+1,1))-AVERAGE(OFFSET($H$3,0,0,'Données projet'!$E$11+1,1))</f>
        <v>312.09994042858187</v>
      </c>
      <c r="BJ54" s="62">
        <f t="shared" si="38"/>
        <v>283.48738729114024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7.4</v>
      </c>
      <c r="BY54" s="13">
        <f>IF('Données projet'!$A$114&gt;35,BY53+BX54-CG53,IF(A54&lt;'Données projet'!$A$114,$BV$205^A54,IF(A54='Données projet'!$A$114,'Données projet'!$B$114,BY53+BX54-CG53)))</f>
        <v>249.40000000000009</v>
      </c>
      <c r="BZ54" s="14">
        <f>BY54*VLOOKUP('Données projet'!$B$12,Paramètres!$A$1:$I$89,3,0)*VLOOKUP('Données projet'!$B$12,Paramètres!$A$1:$I$89,5,0)</f>
        <v>198.42264000000009</v>
      </c>
      <c r="CA54" s="14">
        <f t="shared" si="39"/>
        <v>49.397352151183256</v>
      </c>
      <c r="CB54" s="22">
        <f t="shared" si="10"/>
        <v>431.61981966331092</v>
      </c>
      <c r="CC54" s="62">
        <f t="shared" si="11"/>
        <v>724.95315299664423</v>
      </c>
      <c r="CD54" s="62">
        <f ca="1">AVERAGE(OFFSET($CC$3,0,0,'Données projet'!$E$12+1,1))-AVERAGE(OFFSET($H$3,0,0,'Données projet'!$E$12+1,1))</f>
        <v>370.79299728190904</v>
      </c>
      <c r="CE54" s="62">
        <f t="shared" si="40"/>
        <v>404.95703400805775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4.8717948717948731</v>
      </c>
      <c r="CT54" s="13">
        <f>IF('Données projet'!$A$140&gt;35,CT53+CS54-DB53,IF(A54&lt;'Données projet'!$A$140,$CQ$205^A54,IF(A54='Données projet'!$A$140,'Données projet'!$B$140,CT53+CS54-DB53)))</f>
        <v>149.10256410256406</v>
      </c>
      <c r="CU54" s="18">
        <f>CT54*VLOOKUP('Données projet'!$B$13,Paramètres!$A$1:$I$89,3,0)*VLOOKUP('Données projet'!$B$13,Paramètres!$A$1:$I$89,5,0)</f>
        <v>141.88599999999994</v>
      </c>
      <c r="CV54" s="14">
        <f t="shared" si="41"/>
        <v>36.728724549080006</v>
      </c>
      <c r="CW54" s="22">
        <f t="shared" si="13"/>
        <v>311.08731192298092</v>
      </c>
      <c r="CX54" s="62">
        <f t="shared" si="14"/>
        <v>604.42064525631417</v>
      </c>
      <c r="CY54" s="62">
        <f ca="1">AVERAGE(OFFSET($CX$3,0,0,'Données projet'!$E$13+1,1))-AVERAGE(OFFSET($H$3,0,0,'Données projet'!$E$13+1,1))</f>
        <v>351.34897243264044</v>
      </c>
      <c r="CZ54" s="62">
        <f t="shared" si="42"/>
        <v>268.39685058071603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5.6410256410256405</v>
      </c>
      <c r="DO54" s="13">
        <f>IF('Données projet'!$A$166&gt;35,DO53+DN54-DW53,IF(A54&lt;'Données projet'!$A$166,$DL$205^A54,IF(A54='Données projet'!$A$166,'Données projet'!$B$166,DO53+DN54-DW53)))</f>
        <v>178.71794871794862</v>
      </c>
      <c r="DP54" s="18">
        <f>DO54*VLOOKUP('Données projet'!$B$14,Paramètres!$A$1:$I$89,3,0)*VLOOKUP('Données projet'!$B$14,Paramètres!$A$1:$I$89,5,0)</f>
        <v>119.88399999999993</v>
      </c>
      <c r="DQ54" s="14">
        <f t="shared" si="43"/>
        <v>31.647942676391796</v>
      </c>
      <c r="DR54" s="22">
        <f t="shared" si="16"/>
        <v>263.91813349471556</v>
      </c>
      <c r="DS54" s="62">
        <f t="shared" si="17"/>
        <v>557.25146682804893</v>
      </c>
      <c r="DT54" s="62">
        <f ca="1">AVERAGE(OFFSET($DS$3,0,0,'Données projet'!$E$14+1,1))-AVERAGE(OFFSET($H$3,0,0,'Données projet'!$E$14+1,1))</f>
        <v>290.46086333591074</v>
      </c>
      <c r="DU54" s="62">
        <f t="shared" si="44"/>
        <v>236.8495901994267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7.6</v>
      </c>
      <c r="EJ54" s="13">
        <f>IF('Données projet'!$A$192&gt;35,EJ53+EI54-ER53,IF(A54&lt;'Données projet'!$A$192,$EG$205^A54,IF(A54='Données projet'!$A$192,'Données projet'!$B$192,EJ53+EI54-ER53)))</f>
        <v>235.59999999999997</v>
      </c>
      <c r="EK54" s="18">
        <f>EJ54*VLOOKUP('Données projet'!$B$15,Paramètres!$A$1:$I$89,3,0)*VLOOKUP('Données projet'!$B$15,Paramètres!$A$1:$I$89,5,0)</f>
        <v>191.11872</v>
      </c>
      <c r="EL54" s="14">
        <f t="shared" si="45"/>
        <v>47.787201388032145</v>
      </c>
      <c r="EM54" s="22">
        <f t="shared" si="19"/>
        <v>416.09447975082259</v>
      </c>
      <c r="EN54" s="62">
        <f t="shared" si="20"/>
        <v>709.4278130841559</v>
      </c>
      <c r="EO54" s="62">
        <f ca="1">AVERAGE(OFFSET($EN$3,0,0,'Données projet'!$E$15+1,1))-AVERAGE(OFFSET($H$3,0,0,'Données projet'!$E$15+1,1))</f>
        <v>256.19915261735281</v>
      </c>
      <c r="EP54" s="62">
        <f t="shared" si="46"/>
        <v>297.47246687305056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15.5</v>
      </c>
      <c r="N55" s="14">
        <f>IF('Données projet'!$A$36&gt;35,N54+M55-V54,IF(A55&lt;'Données projet'!$A$36,$K$205^A55,IF(A55='Données projet'!$A$36,'Données projet'!$B$36,N54+M55-V54)))</f>
        <v>238.99999999999986</v>
      </c>
      <c r="O55" s="14">
        <f>N55*VLOOKUP('Données projet'!$B$9,Paramètres!$A$1:$I$89,3,0)*VLOOKUP('Données projet'!$B$9,Paramètres!$A$1:$I$89,5,0)</f>
        <v>205.0619999999999</v>
      </c>
      <c r="P55" s="14">
        <f t="shared" si="33"/>
        <v>50.855018623514823</v>
      </c>
      <c r="Q55" s="22">
        <f t="shared" si="53"/>
        <v>445.72214076928805</v>
      </c>
      <c r="R55" s="62">
        <f t="shared" si="0"/>
        <v>739.05547410262136</v>
      </c>
      <c r="S55" s="62">
        <f ca="1">AVERAGE(OFFSET($R$3,0,0,'Données projet'!$E$9+1,1))-AVERAGE(OFFSET($H$3,0,0,'Données projet'!$E$9+1,1))</f>
        <v>446.27304516866047</v>
      </c>
      <c r="T55" s="62">
        <f t="shared" si="34"/>
        <v>230.82970731138215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8.4</v>
      </c>
      <c r="AI55" s="14">
        <f>IF('Données projet'!$A$62&gt;35,AI54+AH55-AQ54,IF(A55&lt;'Données projet'!$A$62,$AF$205^A55,IF(A55='Données projet'!$A$62,'Données projet'!$B$62,AI54+AH55-AQ54)))</f>
        <v>298.7999999999999</v>
      </c>
      <c r="AJ55" s="14">
        <f>AI55*VLOOKUP('Données projet'!$B$10,Paramètres!$A$1:$I$89,3,0)*VLOOKUP('Données projet'!$B$10,Paramètres!$A$1:$I$89,5,0)</f>
        <v>237.72527999999994</v>
      </c>
      <c r="AK55" s="14">
        <f t="shared" si="35"/>
        <v>57.949842464086196</v>
      </c>
      <c r="AL55" s="22">
        <f t="shared" si="4"/>
        <v>514.96750495828326</v>
      </c>
      <c r="AM55" s="62">
        <f t="shared" si="5"/>
        <v>808.30083829161663</v>
      </c>
      <c r="AN55" s="62">
        <f ca="1">AVERAGE(OFFSET($AM$3,0,0,'Données projet'!$E$10+1,1))-AVERAGE(OFFSET($H$3,0,0,'Données projet'!$E$10+1,1))</f>
        <v>427.78067187784063</v>
      </c>
      <c r="AO55" s="62">
        <f t="shared" si="36"/>
        <v>464.22892523825118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>
        <f>VLOOKUP(A55,'Données projet'!$A$87:$I$107,2,0)</f>
        <v>313</v>
      </c>
      <c r="BB55" s="13">
        <f>VLOOKUP(A55,'Données projet'!$A$87:$I$107,9,0)</f>
        <v>10.375</v>
      </c>
      <c r="BC55" s="13">
        <f t="array" ref="BC55">INDEX(BB:BB,MIN(IF(ISNUMBER(BB55:BB251),ROW(BB55:BB251),"")))</f>
        <v>10.375</v>
      </c>
      <c r="BD55" s="13">
        <f>IF('Données projet'!$A$88&gt;35,BD54+BC55-BL54,IF(A55&lt;'Données projet'!$A$88,$BA$205^A55,IF(A55='Données projet'!$A$88,'Données projet'!$B$88,BD54+BC55-BL54)))</f>
        <v>313</v>
      </c>
      <c r="BE55" s="14">
        <f>BD55*VLOOKUP('Données projet'!$B$11,Paramètres!$A$1:$I$89,3,0)*VLOOKUP('Données projet'!$B$11,Paramètres!$A$1:$I$89,5,0)</f>
        <v>244.14000000000001</v>
      </c>
      <c r="BF55" s="14">
        <f t="shared" si="37"/>
        <v>59.329383078866108</v>
      </c>
      <c r="BG55" s="22">
        <f t="shared" si="7"/>
        <v>528.54250886235855</v>
      </c>
      <c r="BH55" s="62">
        <f t="shared" si="8"/>
        <v>821.8758421956918</v>
      </c>
      <c r="BI55" s="62">
        <f ca="1">AVERAGE(OFFSET($BH$3,0,0,'Données projet'!$E$11+1,1))-AVERAGE(OFFSET($H$3,0,0,'Données projet'!$E$11+1,1))</f>
        <v>312.09994042858187</v>
      </c>
      <c r="BJ55" s="62">
        <f t="shared" si="38"/>
        <v>283.48738729114024</v>
      </c>
      <c r="BK55" s="16">
        <f>IF(ISNA(VLOOKUP(A55,'Données projet'!$A$87:$I$107,3,0)),0,VLOOKUP(A55,'Données projet'!$A$87:$I$107,3,0))</f>
        <v>4</v>
      </c>
      <c r="BL55" s="16">
        <f>IF(ISNA(VLOOKUP(A55,'Données projet'!$A$87:$I$107,4,0)),0,VLOOKUP(A55,'Données projet'!$A$87:$I$107,4,0))</f>
        <v>91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7.4</v>
      </c>
      <c r="BY55" s="13">
        <f>IF('Données projet'!$A$114&gt;35,BY54+BX55-CG54,IF(A55&lt;'Données projet'!$A$114,$BV$205^A55,IF(A55='Données projet'!$A$114,'Données projet'!$B$114,BY54+BX55-CG54)))</f>
        <v>256.80000000000007</v>
      </c>
      <c r="BZ55" s="14">
        <f>BY55*VLOOKUP('Données projet'!$B$12,Paramètres!$A$1:$I$89,3,0)*VLOOKUP('Données projet'!$B$12,Paramètres!$A$1:$I$89,5,0)</f>
        <v>204.31008000000008</v>
      </c>
      <c r="CA55" s="14">
        <f t="shared" si="39"/>
        <v>50.690214235398379</v>
      </c>
      <c r="CB55" s="22">
        <f t="shared" si="10"/>
        <v>444.12551245998566</v>
      </c>
      <c r="CC55" s="62">
        <f t="shared" si="11"/>
        <v>737.45884579331891</v>
      </c>
      <c r="CD55" s="62">
        <f ca="1">AVERAGE(OFFSET($CC$3,0,0,'Données projet'!$E$12+1,1))-AVERAGE(OFFSET($H$3,0,0,'Données projet'!$E$12+1,1))</f>
        <v>370.79299728190904</v>
      </c>
      <c r="CE55" s="62">
        <f t="shared" si="40"/>
        <v>404.95703400805775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4.8717948717948731</v>
      </c>
      <c r="CT55" s="13">
        <f>IF('Données projet'!$A$140&gt;35,CT54+CS55-DB54,IF(A55&lt;'Données projet'!$A$140,$CQ$205^A55,IF(A55='Données projet'!$A$140,'Données projet'!$B$140,CT54+CS55-DB54)))</f>
        <v>153.97435897435892</v>
      </c>
      <c r="CU55" s="18">
        <f>CT55*VLOOKUP('Données projet'!$B$13,Paramètres!$A$1:$I$89,3,0)*VLOOKUP('Données projet'!$B$13,Paramètres!$A$1:$I$89,5,0)</f>
        <v>146.52199999999993</v>
      </c>
      <c r="CV55" s="14">
        <f t="shared" si="41"/>
        <v>37.787121722642198</v>
      </c>
      <c r="CW55" s="22">
        <f t="shared" si="13"/>
        <v>321.00505366693505</v>
      </c>
      <c r="CX55" s="62">
        <f t="shared" si="14"/>
        <v>614.33838700026831</v>
      </c>
      <c r="CY55" s="62">
        <f ca="1">AVERAGE(OFFSET($CX$3,0,0,'Données projet'!$E$13+1,1))-AVERAGE(OFFSET($H$3,0,0,'Données projet'!$E$13+1,1))</f>
        <v>351.34897243264044</v>
      </c>
      <c r="CZ55" s="62">
        <f t="shared" si="42"/>
        <v>268.39685058071603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5.6410256410256405</v>
      </c>
      <c r="DO55" s="13">
        <f>IF('Données projet'!$A$166&gt;35,DO54+DN55-DW54,IF(A55&lt;'Données projet'!$A$166,$DL$205^A55,IF(A55='Données projet'!$A$166,'Données projet'!$B$166,DO54+DN55-DW54)))</f>
        <v>184.35897435897425</v>
      </c>
      <c r="DP55" s="18">
        <f>DO55*VLOOKUP('Données projet'!$B$14,Paramètres!$A$1:$I$89,3,0)*VLOOKUP('Données projet'!$B$14,Paramètres!$A$1:$I$89,5,0)</f>
        <v>123.66799999999994</v>
      </c>
      <c r="DQ55" s="14">
        <f t="shared" si="43"/>
        <v>32.528995176857627</v>
      </c>
      <c r="DR55" s="22">
        <f t="shared" si="16"/>
        <v>272.04309993302689</v>
      </c>
      <c r="DS55" s="62">
        <f t="shared" si="17"/>
        <v>565.37643326636021</v>
      </c>
      <c r="DT55" s="62">
        <f ca="1">AVERAGE(OFFSET($DS$3,0,0,'Données projet'!$E$14+1,1))-AVERAGE(OFFSET($H$3,0,0,'Données projet'!$E$14+1,1))</f>
        <v>290.46086333591074</v>
      </c>
      <c r="DU55" s="62">
        <f t="shared" si="44"/>
        <v>236.8495901994267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7.6</v>
      </c>
      <c r="EJ55" s="13">
        <f>IF('Données projet'!$A$192&gt;35,EJ54+EI55-ER54,IF(A55&lt;'Données projet'!$A$192,$EG$205^A55,IF(A55='Données projet'!$A$192,'Données projet'!$B$192,EJ54+EI55-ER54)))</f>
        <v>243.19999999999996</v>
      </c>
      <c r="EK55" s="18">
        <f>EJ55*VLOOKUP('Données projet'!$B$15,Paramètres!$A$1:$I$89,3,0)*VLOOKUP('Données projet'!$B$15,Paramètres!$A$1:$I$89,5,0)</f>
        <v>197.28383999999997</v>
      </c>
      <c r="EL55" s="14">
        <f t="shared" si="45"/>
        <v>49.146763750789503</v>
      </c>
      <c r="EM55" s="22">
        <f t="shared" si="19"/>
        <v>429.19996819929173</v>
      </c>
      <c r="EN55" s="62">
        <f t="shared" si="20"/>
        <v>722.53330153262505</v>
      </c>
      <c r="EO55" s="62">
        <f ca="1">AVERAGE(OFFSET($EN$3,0,0,'Données projet'!$E$15+1,1))-AVERAGE(OFFSET($H$3,0,0,'Données projet'!$E$15+1,1))</f>
        <v>256.19915261735281</v>
      </c>
      <c r="EP55" s="62">
        <f t="shared" si="46"/>
        <v>297.47246687305056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15.5</v>
      </c>
      <c r="N56" s="14">
        <f>IF('Données projet'!$A$36&gt;35,N55+M56-V55,IF(A56&lt;'Données projet'!$A$36,$K$205^A56,IF(A56='Données projet'!$A$36,'Données projet'!$B$36,N55+M56-V55)))</f>
        <v>254.49999999999986</v>
      </c>
      <c r="O56" s="14">
        <f>N56*VLOOKUP('Données projet'!$B$9,Paramètres!$A$1:$I$89,3,0)*VLOOKUP('Données projet'!$B$9,Paramètres!$A$1:$I$89,5,0)</f>
        <v>218.3609999999999</v>
      </c>
      <c r="P56" s="14">
        <f t="shared" si="33"/>
        <v>53.758502281527136</v>
      </c>
      <c r="Q56" s="22">
        <f t="shared" si="53"/>
        <v>473.94146647365955</v>
      </c>
      <c r="R56" s="62">
        <f t="shared" si="0"/>
        <v>767.27479980699286</v>
      </c>
      <c r="S56" s="62">
        <f ca="1">AVERAGE(OFFSET($R$3,0,0,'Données projet'!$E$9+1,1))-AVERAGE(OFFSET($H$3,0,0,'Données projet'!$E$9+1,1))</f>
        <v>446.27304516866047</v>
      </c>
      <c r="T56" s="62">
        <f t="shared" si="34"/>
        <v>230.82970731138215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8.4</v>
      </c>
      <c r="AI56" s="14">
        <f>IF('Données projet'!$A$62&gt;35,AI55+AH56-AQ55,IF(A56&lt;'Données projet'!$A$62,$AF$205^A56,IF(A56='Données projet'!$A$62,'Données projet'!$B$62,AI55+AH56-AQ55)))</f>
        <v>307.19999999999987</v>
      </c>
      <c r="AJ56" s="14">
        <f>AI56*VLOOKUP('Données projet'!$B$10,Paramètres!$A$1:$I$89,3,0)*VLOOKUP('Données projet'!$B$10,Paramètres!$A$1:$I$89,5,0)</f>
        <v>244.40831999999992</v>
      </c>
      <c r="AK56" s="14">
        <f t="shared" si="35"/>
        <v>59.38699493610541</v>
      </c>
      <c r="AL56" s="22">
        <f t="shared" si="4"/>
        <v>529.11017351371675</v>
      </c>
      <c r="AM56" s="62">
        <f t="shared" si="5"/>
        <v>822.44350684705</v>
      </c>
      <c r="AN56" s="62">
        <f ca="1">AVERAGE(OFFSET($AM$3,0,0,'Données projet'!$E$10+1,1))-AVERAGE(OFFSET($H$3,0,0,'Données projet'!$E$10+1,1))</f>
        <v>427.78067187784063</v>
      </c>
      <c r="AO56" s="62">
        <f t="shared" si="36"/>
        <v>464.22892523825118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9.375</v>
      </c>
      <c r="BD56" s="13">
        <f>IF('Données projet'!$A$88&gt;35,BD55+BC56-BL55,IF(A56&lt;'Données projet'!$A$88,$BA$205^A56,IF(A56='Données projet'!$A$88,'Données projet'!$B$88,BD55+BC56-BL55)))</f>
        <v>231.375</v>
      </c>
      <c r="BE56" s="14">
        <f>BD56*VLOOKUP('Données projet'!$B$11,Paramètres!$A$1:$I$89,3,0)*VLOOKUP('Données projet'!$B$11,Paramètres!$A$1:$I$89,5,0)</f>
        <v>180.4725</v>
      </c>
      <c r="BF56" s="14">
        <f t="shared" si="37"/>
        <v>45.427292666837829</v>
      </c>
      <c r="BG56" s="22">
        <f t="shared" si="7"/>
        <v>393.44213889474253</v>
      </c>
      <c r="BH56" s="62">
        <f t="shared" si="8"/>
        <v>686.77547222807584</v>
      </c>
      <c r="BI56" s="62">
        <f ca="1">AVERAGE(OFFSET($BH$3,0,0,'Données projet'!$E$11+1,1))-AVERAGE(OFFSET($H$3,0,0,'Données projet'!$E$11+1,1))</f>
        <v>312.09994042858187</v>
      </c>
      <c r="BJ56" s="62">
        <f t="shared" si="38"/>
        <v>283.48738729114024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7.4</v>
      </c>
      <c r="BY56" s="13">
        <f>IF('Données projet'!$A$114&gt;35,BY55+BX56-CG55,IF(A56&lt;'Données projet'!$A$114,$BV$205^A56,IF(A56='Données projet'!$A$114,'Données projet'!$B$114,BY55+BX56-CG55)))</f>
        <v>264.20000000000005</v>
      </c>
      <c r="BZ56" s="14">
        <f>BY56*VLOOKUP('Données projet'!$B$12,Paramètres!$A$1:$I$89,3,0)*VLOOKUP('Données projet'!$B$12,Paramètres!$A$1:$I$89,5,0)</f>
        <v>210.19752000000003</v>
      </c>
      <c r="CA56" s="14">
        <f t="shared" si="39"/>
        <v>51.978746425856599</v>
      </c>
      <c r="CB56" s="22">
        <f t="shared" si="10"/>
        <v>456.62366402503358</v>
      </c>
      <c r="CC56" s="62">
        <f t="shared" si="11"/>
        <v>749.95699735836683</v>
      </c>
      <c r="CD56" s="62">
        <f ca="1">AVERAGE(OFFSET($CC$3,0,0,'Données projet'!$E$12+1,1))-AVERAGE(OFFSET($H$3,0,0,'Données projet'!$E$12+1,1))</f>
        <v>370.79299728190904</v>
      </c>
      <c r="CE56" s="62">
        <f t="shared" si="40"/>
        <v>404.95703400805775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4.8717948717948731</v>
      </c>
      <c r="CT56" s="13">
        <f>IF('Données projet'!$A$140&gt;35,CT55+CS56-DB55,IF(A56&lt;'Données projet'!$A$140,$CQ$205^A56,IF(A56='Données projet'!$A$140,'Données projet'!$B$140,CT55+CS56-DB55)))</f>
        <v>158.84615384615378</v>
      </c>
      <c r="CU56" s="18">
        <f>CT56*VLOOKUP('Données projet'!$B$13,Paramètres!$A$1:$I$89,3,0)*VLOOKUP('Données projet'!$B$13,Paramètres!$A$1:$I$89,5,0)</f>
        <v>151.15799999999996</v>
      </c>
      <c r="CV56" s="14">
        <f t="shared" si="41"/>
        <v>38.84162737579674</v>
      </c>
      <c r="CW56" s="22">
        <f t="shared" si="13"/>
        <v>330.91601767951261</v>
      </c>
      <c r="CX56" s="62">
        <f t="shared" si="14"/>
        <v>624.24935101284586</v>
      </c>
      <c r="CY56" s="62">
        <f ca="1">AVERAGE(OFFSET($CX$3,0,0,'Données projet'!$E$13+1,1))-AVERAGE(OFFSET($H$3,0,0,'Données projet'!$E$13+1,1))</f>
        <v>351.34897243264044</v>
      </c>
      <c r="CZ56" s="62">
        <f t="shared" si="42"/>
        <v>268.39685058071603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5.6410256410256405</v>
      </c>
      <c r="DO56" s="13">
        <f>IF('Données projet'!$A$166&gt;35,DO55+DN56-DW55,IF(A56&lt;'Données projet'!$A$166,$DL$205^A56,IF(A56='Données projet'!$A$166,'Données projet'!$B$166,DO55+DN56-DW55)))</f>
        <v>189.99999999999989</v>
      </c>
      <c r="DP56" s="18">
        <f>DO56*VLOOKUP('Données projet'!$B$14,Paramètres!$A$1:$I$89,3,0)*VLOOKUP('Données projet'!$B$14,Paramètres!$A$1:$I$89,5,0)</f>
        <v>127.45199999999993</v>
      </c>
      <c r="DQ56" s="14">
        <f t="shared" si="43"/>
        <v>33.406914773953936</v>
      </c>
      <c r="DR56" s="22">
        <f t="shared" si="16"/>
        <v>280.16260989796962</v>
      </c>
      <c r="DS56" s="62">
        <f t="shared" si="17"/>
        <v>573.49594323130293</v>
      </c>
      <c r="DT56" s="62">
        <f ca="1">AVERAGE(OFFSET($DS$3,0,0,'Données projet'!$E$14+1,1))-AVERAGE(OFFSET($H$3,0,0,'Données projet'!$E$14+1,1))</f>
        <v>290.46086333591074</v>
      </c>
      <c r="DU56" s="62">
        <f t="shared" si="44"/>
        <v>236.8495901994267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7.6</v>
      </c>
      <c r="EJ56" s="13">
        <f>IF('Données projet'!$A$192&gt;35,EJ55+EI56-ER55,IF(A56&lt;'Données projet'!$A$192,$EG$205^A56,IF(A56='Données projet'!$A$192,'Données projet'!$B$192,EJ55+EI56-ER55)))</f>
        <v>250.79999999999995</v>
      </c>
      <c r="EK56" s="18">
        <f>EJ56*VLOOKUP('Données projet'!$B$15,Paramètres!$A$1:$I$89,3,0)*VLOOKUP('Données projet'!$B$15,Paramètres!$A$1:$I$89,5,0)</f>
        <v>203.44895999999997</v>
      </c>
      <c r="EL56" s="14">
        <f t="shared" si="45"/>
        <v>50.501388840000267</v>
      </c>
      <c r="EM56" s="22">
        <f t="shared" si="19"/>
        <v>442.2968575630004</v>
      </c>
      <c r="EN56" s="62">
        <f t="shared" si="20"/>
        <v>735.63019089633372</v>
      </c>
      <c r="EO56" s="62">
        <f ca="1">AVERAGE(OFFSET($EN$3,0,0,'Données projet'!$E$15+1,1))-AVERAGE(OFFSET($H$3,0,0,'Données projet'!$E$15+1,1))</f>
        <v>256.19915261735281</v>
      </c>
      <c r="EP56" s="62">
        <f t="shared" si="46"/>
        <v>297.47246687305056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>
        <f>VLOOKUP(A57,'Données projet'!$A$35:$I$55,2,0)</f>
        <v>270</v>
      </c>
      <c r="L57" s="13">
        <f>VLOOKUP(A57,'Données projet'!$A$35:$I$55,9,0)</f>
        <v>15.5</v>
      </c>
      <c r="M57" s="13">
        <f t="array" ref="M57">INDEX(L:L,MIN(IF(ISNUMBER(L57:L253),ROW(L57:L253),"")))</f>
        <v>15.5</v>
      </c>
      <c r="N57" s="14">
        <f>IF('Données projet'!$A$36&gt;35,N56+M57-V56,IF(A57&lt;'Données projet'!$A$36,$K$205^A57,IF(A57='Données projet'!$A$36,'Données projet'!$B$36,N56+M57-V56)))</f>
        <v>269.99999999999989</v>
      </c>
      <c r="O57" s="14">
        <f>N57*VLOOKUP('Données projet'!$B$9,Paramètres!$A$1:$I$89,3,0)*VLOOKUP('Données projet'!$B$9,Paramètres!$A$1:$I$89,5,0)</f>
        <v>231.65999999999991</v>
      </c>
      <c r="P57" s="14">
        <f t="shared" si="33"/>
        <v>56.641461975682766</v>
      </c>
      <c r="Q57" s="22">
        <f t="shared" si="53"/>
        <v>502.125046274314</v>
      </c>
      <c r="R57" s="62">
        <f t="shared" si="0"/>
        <v>795.45837960764732</v>
      </c>
      <c r="S57" s="62">
        <f ca="1">AVERAGE(OFFSET($R$3,0,0,'Données projet'!$E$9+1,1))-AVERAGE(OFFSET($H$3,0,0,'Données projet'!$E$9+1,1))</f>
        <v>446.27304516866047</v>
      </c>
      <c r="T57" s="62">
        <f t="shared" si="34"/>
        <v>230.82970731138215</v>
      </c>
      <c r="U57" s="16">
        <f>IF(ISNA(VLOOKUP(A57,'Données projet'!$A$35:$I$55,3,0)),0,VLOOKUP(A57,'Données projet'!$A$35:$I$55,3,0))</f>
        <v>6</v>
      </c>
      <c r="V57" s="16">
        <f>IF(ISNA(VLOOKUP(A57,'Données projet'!$A$35:$I$55,4,0)),0,VLOOKUP(A57,'Données projet'!$A$35:$I$55,4,0))</f>
        <v>64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8.4</v>
      </c>
      <c r="AI57" s="14">
        <f>IF('Données projet'!$A$62&gt;35,AI56+AH57-AQ56,IF(A57&lt;'Données projet'!$A$62,$AF$205^A57,IF(A57='Données projet'!$A$62,'Données projet'!$B$62,AI56+AH57-AQ56)))</f>
        <v>315.59999999999985</v>
      </c>
      <c r="AJ57" s="14">
        <f>AI57*VLOOKUP('Données projet'!$B$10,Paramètres!$A$1:$I$89,3,0)*VLOOKUP('Données projet'!$B$10,Paramètres!$A$1:$I$89,5,0)</f>
        <v>251.0913599999999</v>
      </c>
      <c r="AK57" s="14">
        <f t="shared" si="35"/>
        <v>60.81957989149403</v>
      </c>
      <c r="AL57" s="22">
        <f t="shared" si="4"/>
        <v>543.24488697768527</v>
      </c>
      <c r="AM57" s="62">
        <f t="shared" si="5"/>
        <v>836.57822031101864</v>
      </c>
      <c r="AN57" s="62">
        <f ca="1">AVERAGE(OFFSET($AM$3,0,0,'Données projet'!$E$10+1,1))-AVERAGE(OFFSET($H$3,0,0,'Données projet'!$E$10+1,1))</f>
        <v>427.78067187784063</v>
      </c>
      <c r="AO57" s="62">
        <f t="shared" si="36"/>
        <v>464.22892523825118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9.375</v>
      </c>
      <c r="BD57" s="13">
        <f>IF('Données projet'!$A$88&gt;35,BD56+BC57-BL56,IF(A57&lt;'Données projet'!$A$88,$BA$205^A57,IF(A57='Données projet'!$A$88,'Données projet'!$B$88,BD56+BC57-BL56)))</f>
        <v>240.75</v>
      </c>
      <c r="BE57" s="14">
        <f>BD57*VLOOKUP('Données projet'!$B$11,Paramètres!$A$1:$I$89,3,0)*VLOOKUP('Données projet'!$B$11,Paramètres!$A$1:$I$89,5,0)</f>
        <v>187.785</v>
      </c>
      <c r="BF57" s="14">
        <f t="shared" si="37"/>
        <v>47.049914090154054</v>
      </c>
      <c r="BG57" s="22">
        <f t="shared" si="7"/>
        <v>409.00414204035161</v>
      </c>
      <c r="BH57" s="62">
        <f t="shared" si="8"/>
        <v>702.33747537368492</v>
      </c>
      <c r="BI57" s="62">
        <f ca="1">AVERAGE(OFFSET($BH$3,0,0,'Données projet'!$E$11+1,1))-AVERAGE(OFFSET($H$3,0,0,'Données projet'!$E$11+1,1))</f>
        <v>312.09994042858187</v>
      </c>
      <c r="BJ57" s="62">
        <f t="shared" si="38"/>
        <v>283.48738729114024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7.4</v>
      </c>
      <c r="BY57" s="13">
        <f>IF('Données projet'!$A$114&gt;35,BY56+BX57-CG56,IF(A57&lt;'Données projet'!$A$114,$BV$205^A57,IF(A57='Données projet'!$A$114,'Données projet'!$B$114,BY56+BX57-CG56)))</f>
        <v>271.60000000000002</v>
      </c>
      <c r="BZ57" s="14">
        <f>BY57*VLOOKUP('Données projet'!$B$12,Paramètres!$A$1:$I$89,3,0)*VLOOKUP('Données projet'!$B$12,Paramètres!$A$1:$I$89,5,0)</f>
        <v>216.08496000000002</v>
      </c>
      <c r="CA57" s="14">
        <f t="shared" si="39"/>
        <v>53.26308393083157</v>
      </c>
      <c r="CB57" s="22">
        <f t="shared" si="10"/>
        <v>469.11450984619825</v>
      </c>
      <c r="CC57" s="62">
        <f t="shared" si="11"/>
        <v>762.44784317953156</v>
      </c>
      <c r="CD57" s="62">
        <f ca="1">AVERAGE(OFFSET($CC$3,0,0,'Données projet'!$E$12+1,1))-AVERAGE(OFFSET($H$3,0,0,'Données projet'!$E$12+1,1))</f>
        <v>370.79299728190904</v>
      </c>
      <c r="CE57" s="62">
        <f t="shared" si="40"/>
        <v>404.95703400805775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4.8717948717948731</v>
      </c>
      <c r="CT57" s="13">
        <f>IF('Données projet'!$A$140&gt;35,CT56+CS57-DB56,IF(A57&lt;'Données projet'!$A$140,$CQ$205^A57,IF(A57='Données projet'!$A$140,'Données projet'!$B$140,CT56+CS57-DB56)))</f>
        <v>163.71794871794864</v>
      </c>
      <c r="CU57" s="18">
        <f>CT57*VLOOKUP('Données projet'!$B$13,Paramètres!$A$1:$I$89,3,0)*VLOOKUP('Données projet'!$B$13,Paramètres!$A$1:$I$89,5,0)</f>
        <v>155.79399999999993</v>
      </c>
      <c r="CV57" s="14">
        <f t="shared" si="41"/>
        <v>39.892374558454186</v>
      </c>
      <c r="CW57" s="22">
        <f t="shared" si="13"/>
        <v>340.82043568930754</v>
      </c>
      <c r="CX57" s="62">
        <f t="shared" si="14"/>
        <v>634.15376902264086</v>
      </c>
      <c r="CY57" s="62">
        <f ca="1">AVERAGE(OFFSET($CX$3,0,0,'Données projet'!$E$13+1,1))-AVERAGE(OFFSET($H$3,0,0,'Données projet'!$E$13+1,1))</f>
        <v>351.34897243264044</v>
      </c>
      <c r="CZ57" s="62">
        <f t="shared" si="42"/>
        <v>268.39685058071603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5.6410256410256405</v>
      </c>
      <c r="DO57" s="13">
        <f>IF('Données projet'!$A$166&gt;35,DO56+DN57-DW56,IF(A57&lt;'Données projet'!$A$166,$DL$205^A57,IF(A57='Données projet'!$A$166,'Données projet'!$B$166,DO56+DN57-DW56)))</f>
        <v>195.64102564102552</v>
      </c>
      <c r="DP57" s="18">
        <f>DO57*VLOOKUP('Données projet'!$B$14,Paramètres!$A$1:$I$89,3,0)*VLOOKUP('Données projet'!$B$14,Paramètres!$A$1:$I$89,5,0)</f>
        <v>131.23599999999993</v>
      </c>
      <c r="DQ57" s="14">
        <f t="shared" si="43"/>
        <v>34.281805160926403</v>
      </c>
      <c r="DR57" s="22">
        <f t="shared" si="16"/>
        <v>288.27684398861334</v>
      </c>
      <c r="DS57" s="62">
        <f t="shared" si="17"/>
        <v>581.61017732194659</v>
      </c>
      <c r="DT57" s="62">
        <f ca="1">AVERAGE(OFFSET($DS$3,0,0,'Données projet'!$E$14+1,1))-AVERAGE(OFFSET($H$3,0,0,'Données projet'!$E$14+1,1))</f>
        <v>290.46086333591074</v>
      </c>
      <c r="DU57" s="62">
        <f t="shared" si="44"/>
        <v>236.8495901994267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7.6</v>
      </c>
      <c r="EJ57" s="13">
        <f>IF('Données projet'!$A$192&gt;35,EJ56+EI57-ER56,IF(A57&lt;'Données projet'!$A$192,$EG$205^A57,IF(A57='Données projet'!$A$192,'Données projet'!$B$192,EJ56+EI57-ER56)))</f>
        <v>258.39999999999998</v>
      </c>
      <c r="EK57" s="18">
        <f>EJ57*VLOOKUP('Données projet'!$B$15,Paramètres!$A$1:$I$89,3,0)*VLOOKUP('Données projet'!$B$15,Paramètres!$A$1:$I$89,5,0)</f>
        <v>209.61408</v>
      </c>
      <c r="EL57" s="14">
        <f t="shared" si="45"/>
        <v>51.851243442662593</v>
      </c>
      <c r="EM57" s="22">
        <f t="shared" si="19"/>
        <v>455.38543832930395</v>
      </c>
      <c r="EN57" s="62">
        <f t="shared" si="20"/>
        <v>748.71877166263721</v>
      </c>
      <c r="EO57" s="62">
        <f ca="1">AVERAGE(OFFSET($EN$3,0,0,'Données projet'!$E$15+1,1))-AVERAGE(OFFSET($H$3,0,0,'Données projet'!$E$15+1,1))</f>
        <v>256.19915261735281</v>
      </c>
      <c r="EP57" s="62">
        <f t="shared" si="46"/>
        <v>297.47246687305056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14.833333333333334</v>
      </c>
      <c r="N58" s="14">
        <f>IF('Données projet'!$A$36&gt;35,N57+M58-V57,IF(A58&lt;'Données projet'!$A$36,$K$205^A58,IF(A58='Données projet'!$A$36,'Données projet'!$B$36,N57+M58-V57)))</f>
        <v>220.8333333333332</v>
      </c>
      <c r="O58" s="14">
        <f>N58*VLOOKUP('Données projet'!$B$9,Paramètres!$A$1:$I$89,3,0)*VLOOKUP('Données projet'!$B$9,Paramètres!$A$1:$I$89,5,0)</f>
        <v>189.47499999999991</v>
      </c>
      <c r="P58" s="14">
        <f t="shared" si="33"/>
        <v>47.423864120172716</v>
      </c>
      <c r="Q58" s="22">
        <f t="shared" si="53"/>
        <v>412.59885500930062</v>
      </c>
      <c r="R58" s="62">
        <f t="shared" si="0"/>
        <v>705.93218834263394</v>
      </c>
      <c r="S58" s="62">
        <f ca="1">AVERAGE(OFFSET($R$3,0,0,'Données projet'!$E$9+1,1))-AVERAGE(OFFSET($H$3,0,0,'Données projet'!$E$9+1,1))</f>
        <v>446.27304516866047</v>
      </c>
      <c r="T58" s="62">
        <f t="shared" si="34"/>
        <v>230.82970731138215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324</v>
      </c>
      <c r="AG58" s="13">
        <f>VLOOKUP(A58,'Données projet'!$A$61:$I$81,9,0)</f>
        <v>8.4</v>
      </c>
      <c r="AH58" s="13">
        <f t="array" ref="AH58">INDEX(AG:AG,MIN(IF(ISNUMBER(AG58:AG254),ROW(AG58:AG254),"")))</f>
        <v>8.4</v>
      </c>
      <c r="AI58" s="14">
        <f>IF('Données projet'!$A$62&gt;35,AI57+AH58-AQ57,IF(A58&lt;'Données projet'!$A$62,$AF$205^A58,IF(A58='Données projet'!$A$62,'Données projet'!$B$62,AI57+AH58-AQ57)))</f>
        <v>323.99999999999983</v>
      </c>
      <c r="AJ58" s="14">
        <f>AI58*VLOOKUP('Données projet'!$B$10,Paramètres!$A$1:$I$89,3,0)*VLOOKUP('Données projet'!$B$10,Paramètres!$A$1:$I$89,5,0)</f>
        <v>257.7743999999999</v>
      </c>
      <c r="AK58" s="14">
        <f t="shared" si="35"/>
        <v>62.247732872134243</v>
      </c>
      <c r="AL58" s="22">
        <f t="shared" si="4"/>
        <v>557.37188141896695</v>
      </c>
      <c r="AM58" s="62">
        <f t="shared" si="5"/>
        <v>850.70521475230021</v>
      </c>
      <c r="AN58" s="62">
        <f ca="1">AVERAGE(OFFSET($AM$3,0,0,'Données projet'!$E$10+1,1))-AVERAGE(OFFSET($H$3,0,0,'Données projet'!$E$10+1,1))</f>
        <v>427.78067187784063</v>
      </c>
      <c r="AO58" s="62">
        <f t="shared" si="36"/>
        <v>464.22892523825118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9.375</v>
      </c>
      <c r="BD58" s="13">
        <f>IF('Données projet'!$A$88&gt;35,BD57+BC58-BL57,IF(A58&lt;'Données projet'!$A$88,$BA$205^A58,IF(A58='Données projet'!$A$88,'Données projet'!$B$88,BD57+BC58-BL57)))</f>
        <v>250.125</v>
      </c>
      <c r="BE58" s="14">
        <f>BD58*VLOOKUP('Données projet'!$B$11,Paramètres!$A$1:$I$89,3,0)*VLOOKUP('Données projet'!$B$11,Paramètres!$A$1:$I$89,5,0)</f>
        <v>195.0975</v>
      </c>
      <c r="BF58" s="14">
        <f t="shared" si="37"/>
        <v>48.66519532492584</v>
      </c>
      <c r="BG58" s="22">
        <f t="shared" si="7"/>
        <v>424.55336102424582</v>
      </c>
      <c r="BH58" s="62">
        <f t="shared" si="8"/>
        <v>717.88669435757913</v>
      </c>
      <c r="BI58" s="62">
        <f ca="1">AVERAGE(OFFSET($BH$3,0,0,'Données projet'!$E$11+1,1))-AVERAGE(OFFSET($H$3,0,0,'Données projet'!$E$11+1,1))</f>
        <v>312.09994042858187</v>
      </c>
      <c r="BJ58" s="62">
        <f t="shared" si="38"/>
        <v>283.48738729114024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279</v>
      </c>
      <c r="BW58" s="13">
        <f>VLOOKUP(A58,'Données projet'!$A$113:$I$133,9,0)</f>
        <v>7.4</v>
      </c>
      <c r="BX58" s="13">
        <f t="array" ref="BX58">INDEX(BW:BW,MIN(IF(ISNUMBER(BW58:BW254),ROW(BW58:BW254),"")))</f>
        <v>7.4</v>
      </c>
      <c r="BY58" s="13">
        <f>IF('Données projet'!$A$114&gt;35,BY57+BX58-CG57,IF(A58&lt;'Données projet'!$A$114,$BV$205^A58,IF(A58='Données projet'!$A$114,'Données projet'!$B$114,BY57+BX58-CG57)))</f>
        <v>279</v>
      </c>
      <c r="BZ58" s="14">
        <f>BY58*VLOOKUP('Données projet'!$B$12,Paramètres!$A$1:$I$89,3,0)*VLOOKUP('Données projet'!$B$12,Paramètres!$A$1:$I$89,5,0)</f>
        <v>221.97239999999999</v>
      </c>
      <c r="CA58" s="14">
        <f t="shared" si="39"/>
        <v>54.543354171476821</v>
      </c>
      <c r="CB58" s="22">
        <f t="shared" si="10"/>
        <v>481.59827184865549</v>
      </c>
      <c r="CC58" s="62">
        <f t="shared" si="11"/>
        <v>774.93160518198874</v>
      </c>
      <c r="CD58" s="62">
        <f ca="1">AVERAGE(OFFSET($CC$3,0,0,'Données projet'!$E$12+1,1))-AVERAGE(OFFSET($H$3,0,0,'Données projet'!$E$12+1,1))</f>
        <v>370.79299728190904</v>
      </c>
      <c r="CE58" s="62">
        <f t="shared" si="40"/>
        <v>404.95703400805775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168.58974358974359</v>
      </c>
      <c r="CR58" s="13">
        <f>VLOOKUP(A58,'Données projet'!$A$139:$I$159,9,0)</f>
        <v>4.8717948717948731</v>
      </c>
      <c r="CS58" s="13">
        <f t="array" ref="CS58">INDEX(CR:CR,MIN(IF(ISNUMBER(CR58:CR254),ROW(CR58:CR254),"")))</f>
        <v>4.8717948717948731</v>
      </c>
      <c r="CT58" s="13">
        <f>IF('Données projet'!$A$140&gt;35,CT57+CS58-DB57,IF(A58&lt;'Données projet'!$A$140,$CQ$205^A58,IF(A58='Données projet'!$A$140,'Données projet'!$B$140,CT57+CS58-DB57)))</f>
        <v>168.58974358974351</v>
      </c>
      <c r="CU58" s="18">
        <f>CT58*VLOOKUP('Données projet'!$B$13,Paramètres!$A$1:$I$89,3,0)*VLOOKUP('Données projet'!$B$13,Paramètres!$A$1:$I$89,5,0)</f>
        <v>160.42999999999992</v>
      </c>
      <c r="CV58" s="14">
        <f t="shared" si="41"/>
        <v>40.939487952030738</v>
      </c>
      <c r="CW58" s="22">
        <f t="shared" si="13"/>
        <v>350.71852484978672</v>
      </c>
      <c r="CX58" s="62">
        <f t="shared" si="14"/>
        <v>644.05185818311998</v>
      </c>
      <c r="CY58" s="62">
        <f ca="1">AVERAGE(OFFSET($CX$3,0,0,'Données projet'!$E$13+1,1))-AVERAGE(OFFSET($H$3,0,0,'Données projet'!$E$13+1,1))</f>
        <v>351.34897243264044</v>
      </c>
      <c r="CZ58" s="62">
        <f t="shared" si="42"/>
        <v>268.39685058071603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201.28205128205127</v>
      </c>
      <c r="DM58" s="13">
        <f>VLOOKUP(A58,'Données projet'!$A$165:$I$185,9,0)</f>
        <v>5.6410256410256405</v>
      </c>
      <c r="DN58" s="13">
        <f t="array" ref="DN58">INDEX(DM:DM,MIN(IF(ISNUMBER(DM58:DM254),ROW(DM58:DM254),"")))</f>
        <v>5.6410256410256405</v>
      </c>
      <c r="DO58" s="13">
        <f>IF('Données projet'!$A$166&gt;35,DO57+DN58-DW57,IF(A58&lt;'Données projet'!$A$166,$DL$205^A58,IF(A58='Données projet'!$A$166,'Données projet'!$B$166,DO57+DN58-DW57)))</f>
        <v>201.28205128205116</v>
      </c>
      <c r="DP58" s="18">
        <f>DO58*VLOOKUP('Données projet'!$B$14,Paramètres!$A$1:$I$89,3,0)*VLOOKUP('Données projet'!$B$14,Paramètres!$A$1:$I$89,5,0)</f>
        <v>135.01999999999992</v>
      </c>
      <c r="DQ58" s="14">
        <f t="shared" si="43"/>
        <v>35.153763711270045</v>
      </c>
      <c r="DR58" s="22">
        <f t="shared" si="16"/>
        <v>296.38597179712855</v>
      </c>
      <c r="DS58" s="62">
        <f t="shared" si="17"/>
        <v>589.71930513046186</v>
      </c>
      <c r="DT58" s="62">
        <f ca="1">AVERAGE(OFFSET($DS$3,0,0,'Données projet'!$E$14+1,1))-AVERAGE(OFFSET($H$3,0,0,'Données projet'!$E$14+1,1))</f>
        <v>290.46086333591074</v>
      </c>
      <c r="DU58" s="62">
        <f t="shared" si="44"/>
        <v>236.8495901994267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266</v>
      </c>
      <c r="EH58" s="13">
        <f>VLOOKUP(A58,'Données projet'!$A$191:$I$211,9,0)</f>
        <v>7.6</v>
      </c>
      <c r="EI58" s="13">
        <f t="array" ref="EI58">INDEX(EH:EH,MIN(IF(ISNUMBER(EH58:EH254),ROW(EH58:EH254),"")))</f>
        <v>7.6</v>
      </c>
      <c r="EJ58" s="13">
        <f>IF('Données projet'!$A$192&gt;35,EJ57+EI58-ER57,IF(A58&lt;'Données projet'!$A$192,$EG$205^A58,IF(A58='Données projet'!$A$192,'Données projet'!$B$192,EJ57+EI58-ER57)))</f>
        <v>266</v>
      </c>
      <c r="EK58" s="18">
        <f>EJ58*VLOOKUP('Données projet'!$B$15,Paramètres!$A$1:$I$89,3,0)*VLOOKUP('Données projet'!$B$15,Paramètres!$A$1:$I$89,5,0)</f>
        <v>215.7792</v>
      </c>
      <c r="EL58" s="14">
        <f t="shared" si="45"/>
        <v>53.196483976998607</v>
      </c>
      <c r="EM58" s="22">
        <f t="shared" si="19"/>
        <v>468.46598292660588</v>
      </c>
      <c r="EN58" s="62">
        <f t="shared" si="20"/>
        <v>761.79931625993913</v>
      </c>
      <c r="EO58" s="62">
        <f ca="1">AVERAGE(OFFSET($EN$3,0,0,'Données projet'!$E$15+1,1))-AVERAGE(OFFSET($H$3,0,0,'Données projet'!$E$15+1,1))</f>
        <v>256.19915261735281</v>
      </c>
      <c r="EP58" s="62">
        <f t="shared" si="46"/>
        <v>297.47246687305056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14.833333333333334</v>
      </c>
      <c r="N59" s="14">
        <f>IF('Données projet'!$A$36&gt;35,N58+M59-V58,IF(A59&lt;'Données projet'!$A$36,$K$205^A59,IF(A59='Données projet'!$A$36,'Données projet'!$B$36,N58+M59-V58)))</f>
        <v>235.66666666666654</v>
      </c>
      <c r="O59" s="14">
        <f>N59*VLOOKUP('Données projet'!$B$9,Paramètres!$A$1:$I$89,3,0)*VLOOKUP('Données projet'!$B$9,Paramètres!$A$1:$I$89,5,0)</f>
        <v>202.20199999999994</v>
      </c>
      <c r="P59" s="14">
        <f t="shared" si="33"/>
        <v>50.227791845116698</v>
      </c>
      <c r="Q59" s="22">
        <f t="shared" si="53"/>
        <v>439.6485541302448</v>
      </c>
      <c r="R59" s="62">
        <f t="shared" si="0"/>
        <v>732.98188746357812</v>
      </c>
      <c r="S59" s="62">
        <f ca="1">AVERAGE(OFFSET($R$3,0,0,'Données projet'!$E$9+1,1))-AVERAGE(OFFSET($H$3,0,0,'Données projet'!$E$9+1,1))</f>
        <v>446.27304516866047</v>
      </c>
      <c r="T59" s="62">
        <f t="shared" si="34"/>
        <v>230.82970731138215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7.2</v>
      </c>
      <c r="AI59" s="14">
        <f>IF('Données projet'!$A$62&gt;35,AI58+AH59-AQ58,IF(A59&lt;'Données projet'!$A$62,$AF$205^A59,IF(A59='Données projet'!$A$62,'Données projet'!$B$62,AI58+AH59-AQ58)))</f>
        <v>331.19999999999982</v>
      </c>
      <c r="AJ59" s="14">
        <f>AI59*VLOOKUP('Données projet'!$B$10,Paramètres!$A$1:$I$89,3,0)*VLOOKUP('Données projet'!$B$10,Paramètres!$A$1:$I$89,5,0)</f>
        <v>263.5027199999999</v>
      </c>
      <c r="AK59" s="14">
        <f t="shared" si="35"/>
        <v>63.468433809179686</v>
      </c>
      <c r="AL59" s="22">
        <f t="shared" si="4"/>
        <v>569.47475955098764</v>
      </c>
      <c r="AM59" s="62">
        <f t="shared" si="5"/>
        <v>862.80809288432101</v>
      </c>
      <c r="AN59" s="62">
        <f ca="1">AVERAGE(OFFSET($AM$3,0,0,'Données projet'!$E$10+1,1))-AVERAGE(OFFSET($H$3,0,0,'Données projet'!$E$10+1,1))</f>
        <v>427.78067187784063</v>
      </c>
      <c r="AO59" s="62">
        <f t="shared" si="36"/>
        <v>464.22892523825118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9.375</v>
      </c>
      <c r="BD59" s="13">
        <f>IF('Données projet'!$A$88&gt;35,BD58+BC59-BL58,IF(A59&lt;'Données projet'!$A$88,$BA$205^A59,IF(A59='Données projet'!$A$88,'Données projet'!$B$88,BD58+BC59-BL58)))</f>
        <v>259.5</v>
      </c>
      <c r="BE59" s="14">
        <f>BD59*VLOOKUP('Données projet'!$B$11,Paramètres!$A$1:$I$89,3,0)*VLOOKUP('Données projet'!$B$11,Paramètres!$A$1:$I$89,5,0)</f>
        <v>202.41</v>
      </c>
      <c r="BF59" s="14">
        <f t="shared" si="37"/>
        <v>50.273442991661867</v>
      </c>
      <c r="BG59" s="22">
        <f t="shared" si="7"/>
        <v>440.09032987714448</v>
      </c>
      <c r="BH59" s="62">
        <f t="shared" si="8"/>
        <v>733.4236632104778</v>
      </c>
      <c r="BI59" s="62">
        <f ca="1">AVERAGE(OFFSET($BH$3,0,0,'Données projet'!$E$11+1,1))-AVERAGE(OFFSET($H$3,0,0,'Données projet'!$E$11+1,1))</f>
        <v>312.09994042858187</v>
      </c>
      <c r="BJ59" s="62">
        <f t="shared" si="38"/>
        <v>283.48738729114024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6.2</v>
      </c>
      <c r="BY59" s="13">
        <f>IF('Données projet'!$A$114&gt;35,BY58+BX59-CG58,IF(A59&lt;'Données projet'!$A$114,$BV$205^A59,IF(A59='Données projet'!$A$114,'Données projet'!$B$114,BY58+BX59-CG58)))</f>
        <v>285.2</v>
      </c>
      <c r="BZ59" s="14">
        <f>BY59*VLOOKUP('Données projet'!$B$12,Paramètres!$A$1:$I$89,3,0)*VLOOKUP('Données projet'!$B$12,Paramètres!$A$1:$I$89,5,0)</f>
        <v>226.90512000000001</v>
      </c>
      <c r="CA59" s="14">
        <f t="shared" si="39"/>
        <v>55.612969408444414</v>
      </c>
      <c r="CB59" s="22">
        <f t="shared" si="10"/>
        <v>492.05233905304067</v>
      </c>
      <c r="CC59" s="62">
        <f t="shared" si="11"/>
        <v>785.38567238637393</v>
      </c>
      <c r="CD59" s="62">
        <f ca="1">AVERAGE(OFFSET($CC$3,0,0,'Données projet'!$E$12+1,1))-AVERAGE(OFFSET($H$3,0,0,'Données projet'!$E$12+1,1))</f>
        <v>370.79299728190904</v>
      </c>
      <c r="CE59" s="62">
        <f t="shared" si="40"/>
        <v>404.95703400805775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4.7435897435897401</v>
      </c>
      <c r="CT59" s="13">
        <f>IF('Données projet'!$A$140&gt;35,CT58+CS59-DB58,IF(A59&lt;'Données projet'!$A$140,$CQ$205^A59,IF(A59='Données projet'!$A$140,'Données projet'!$B$140,CT58+CS59-DB58)))</f>
        <v>173.33333333333326</v>
      </c>
      <c r="CU59" s="18">
        <f>CT59*VLOOKUP('Données projet'!$B$13,Paramètres!$A$1:$I$89,3,0)*VLOOKUP('Données projet'!$B$13,Paramètres!$A$1:$I$89,5,0)</f>
        <v>164.94399999999993</v>
      </c>
      <c r="CV59" s="14">
        <f t="shared" si="41"/>
        <v>41.955665664568819</v>
      </c>
      <c r="CW59" s="22">
        <f t="shared" si="13"/>
        <v>360.35025103245721</v>
      </c>
      <c r="CX59" s="62">
        <f t="shared" si="14"/>
        <v>653.68358436579047</v>
      </c>
      <c r="CY59" s="62">
        <f ca="1">AVERAGE(OFFSET($CX$3,0,0,'Données projet'!$E$13+1,1))-AVERAGE(OFFSET($H$3,0,0,'Données projet'!$E$13+1,1))</f>
        <v>351.34897243264044</v>
      </c>
      <c r="CZ59" s="62">
        <f t="shared" si="42"/>
        <v>268.39685058071603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5.2564102564102599</v>
      </c>
      <c r="DO59" s="13">
        <f>IF('Données projet'!$A$166&gt;35,DO58+DN59-DW58,IF(A59&lt;'Données projet'!$A$166,$DL$205^A59,IF(A59='Données projet'!$A$166,'Données projet'!$B$166,DO58+DN59-DW58)))</f>
        <v>206.53846153846141</v>
      </c>
      <c r="DP59" s="18">
        <f>DO59*VLOOKUP('Données projet'!$B$14,Paramètres!$A$1:$I$89,3,0)*VLOOKUP('Données projet'!$B$14,Paramètres!$A$1:$I$89,5,0)</f>
        <v>138.54599999999991</v>
      </c>
      <c r="DQ59" s="14">
        <f t="shared" si="43"/>
        <v>35.963712393935815</v>
      </c>
      <c r="DR59" s="22">
        <f t="shared" si="16"/>
        <v>303.9377490861047</v>
      </c>
      <c r="DS59" s="62">
        <f t="shared" si="17"/>
        <v>597.27108241943802</v>
      </c>
      <c r="DT59" s="62">
        <f ca="1">AVERAGE(OFFSET($DS$3,0,0,'Données projet'!$E$14+1,1))-AVERAGE(OFFSET($H$3,0,0,'Données projet'!$E$14+1,1))</f>
        <v>290.46086333591074</v>
      </c>
      <c r="DU59" s="62">
        <f t="shared" si="44"/>
        <v>236.8495901994267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7.4</v>
      </c>
      <c r="EJ59" s="13">
        <f>IF('Données projet'!$A$192&gt;35,EJ58+EI59-ER58,IF(A59&lt;'Données projet'!$A$192,$EG$205^A59,IF(A59='Données projet'!$A$192,'Données projet'!$B$192,EJ58+EI59-ER58)))</f>
        <v>273.39999999999998</v>
      </c>
      <c r="EK59" s="18">
        <f>EJ59*VLOOKUP('Données projet'!$B$15,Paramètres!$A$1:$I$89,3,0)*VLOOKUP('Données projet'!$B$15,Paramètres!$A$1:$I$89,5,0)</f>
        <v>221.78208000000001</v>
      </c>
      <c r="EL59" s="14">
        <f t="shared" si="45"/>
        <v>54.502029950220781</v>
      </c>
      <c r="EM59" s="22">
        <f t="shared" si="19"/>
        <v>481.19482482996779</v>
      </c>
      <c r="EN59" s="62">
        <f t="shared" si="20"/>
        <v>774.5281581633011</v>
      </c>
      <c r="EO59" s="62">
        <f ca="1">AVERAGE(OFFSET($EN$3,0,0,'Données projet'!$E$15+1,1))-AVERAGE(OFFSET($H$3,0,0,'Données projet'!$E$15+1,1))</f>
        <v>256.19915261735281</v>
      </c>
      <c r="EP59" s="62">
        <f t="shared" si="46"/>
        <v>297.47246687305056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14.833333333333334</v>
      </c>
      <c r="N60" s="14">
        <f>IF('Données projet'!$A$36&gt;35,N59+M60-V59,IF(A60&lt;'Données projet'!$A$36,$K$205^A60,IF(A60='Données projet'!$A$36,'Données projet'!$B$36,N59+M60-V59)))</f>
        <v>250.49999999999989</v>
      </c>
      <c r="O60" s="14">
        <f>N60*VLOOKUP('Données projet'!$B$9,Paramètres!$A$1:$I$89,3,0)*VLOOKUP('Données projet'!$B$9,Paramètres!$A$1:$I$89,5,0)</f>
        <v>214.92899999999992</v>
      </c>
      <c r="P60" s="14">
        <f t="shared" si="33"/>
        <v>53.011237531572512</v>
      </c>
      <c r="Q60" s="22">
        <f t="shared" si="53"/>
        <v>466.66258036748872</v>
      </c>
      <c r="R60" s="62">
        <f t="shared" si="0"/>
        <v>759.99591370082203</v>
      </c>
      <c r="S60" s="62">
        <f ca="1">AVERAGE(OFFSET($R$3,0,0,'Données projet'!$E$9+1,1))-AVERAGE(OFFSET($H$3,0,0,'Données projet'!$E$9+1,1))</f>
        <v>446.27304516866047</v>
      </c>
      <c r="T60" s="62">
        <f t="shared" si="34"/>
        <v>230.82970731138215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7.2</v>
      </c>
      <c r="AI60" s="14">
        <f>IF('Données projet'!$A$62&gt;35,AI59+AH60-AQ59,IF(A60&lt;'Données projet'!$A$62,$AF$205^A60,IF(A60='Données projet'!$A$62,'Données projet'!$B$62,AI59+AH60-AQ59)))</f>
        <v>338.39999999999981</v>
      </c>
      <c r="AJ60" s="14">
        <f>AI60*VLOOKUP('Données projet'!$B$10,Paramètres!$A$1:$I$89,3,0)*VLOOKUP('Données projet'!$B$10,Paramètres!$A$1:$I$89,5,0)</f>
        <v>269.23103999999989</v>
      </c>
      <c r="AK60" s="14">
        <f t="shared" si="35"/>
        <v>64.686049490098227</v>
      </c>
      <c r="AL60" s="22">
        <f t="shared" si="4"/>
        <v>581.57226419525421</v>
      </c>
      <c r="AM60" s="62">
        <f t="shared" si="5"/>
        <v>874.90559752858758</v>
      </c>
      <c r="AN60" s="62">
        <f ca="1">AVERAGE(OFFSET($AM$3,0,0,'Données projet'!$E$10+1,1))-AVERAGE(OFFSET($H$3,0,0,'Données projet'!$E$10+1,1))</f>
        <v>427.78067187784063</v>
      </c>
      <c r="AO60" s="62">
        <f t="shared" si="36"/>
        <v>464.22892523825118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9.375</v>
      </c>
      <c r="BD60" s="13">
        <f>IF('Données projet'!$A$88&gt;35,BD59+BC60-BL59,IF(A60&lt;'Données projet'!$A$88,$BA$205^A60,IF(A60='Données projet'!$A$88,'Données projet'!$B$88,BD59+BC60-BL59)))</f>
        <v>268.875</v>
      </c>
      <c r="BE60" s="14">
        <f>BD60*VLOOKUP('Données projet'!$B$11,Paramètres!$A$1:$I$89,3,0)*VLOOKUP('Données projet'!$B$11,Paramètres!$A$1:$I$89,5,0)</f>
        <v>209.7225</v>
      </c>
      <c r="BF60" s="14">
        <f t="shared" si="37"/>
        <v>51.874940300502296</v>
      </c>
      <c r="BG60" s="22">
        <f t="shared" si="7"/>
        <v>455.61554185670815</v>
      </c>
      <c r="BH60" s="62">
        <f t="shared" si="8"/>
        <v>748.94887519004146</v>
      </c>
      <c r="BI60" s="62">
        <f ca="1">AVERAGE(OFFSET($BH$3,0,0,'Données projet'!$E$11+1,1))-AVERAGE(OFFSET($H$3,0,0,'Données projet'!$E$11+1,1))</f>
        <v>312.09994042858187</v>
      </c>
      <c r="BJ60" s="62">
        <f t="shared" si="38"/>
        <v>283.48738729114024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6.2</v>
      </c>
      <c r="BY60" s="13">
        <f>IF('Données projet'!$A$114&gt;35,BY59+BX60-CG59,IF(A60&lt;'Données projet'!$A$114,$BV$205^A60,IF(A60='Données projet'!$A$114,'Données projet'!$B$114,BY59+BX60-CG59)))</f>
        <v>291.39999999999998</v>
      </c>
      <c r="BZ60" s="14">
        <f>BY60*VLOOKUP('Données projet'!$B$12,Paramètres!$A$1:$I$89,3,0)*VLOOKUP('Données projet'!$B$12,Paramètres!$A$1:$I$89,5,0)</f>
        <v>231.83784000000003</v>
      </c>
      <c r="CA60" s="14">
        <f t="shared" si="39"/>
        <v>56.679881250286201</v>
      </c>
      <c r="CB60" s="22">
        <f t="shared" si="10"/>
        <v>502.50169784424844</v>
      </c>
      <c r="CC60" s="62">
        <f t="shared" si="11"/>
        <v>795.83503117758175</v>
      </c>
      <c r="CD60" s="62">
        <f ca="1">AVERAGE(OFFSET($CC$3,0,0,'Données projet'!$E$12+1,1))-AVERAGE(OFFSET($H$3,0,0,'Données projet'!$E$12+1,1))</f>
        <v>370.79299728190904</v>
      </c>
      <c r="CE60" s="62">
        <f t="shared" si="40"/>
        <v>404.95703400805775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4.7435897435897401</v>
      </c>
      <c r="CT60" s="13">
        <f>IF('Données projet'!$A$140&gt;35,CT59+CS60-DB59,IF(A60&lt;'Données projet'!$A$140,$CQ$205^A60,IF(A60='Données projet'!$A$140,'Données projet'!$B$140,CT59+CS60-DB59)))</f>
        <v>178.07692307692301</v>
      </c>
      <c r="CU60" s="18">
        <f>CT60*VLOOKUP('Données projet'!$B$13,Paramètres!$A$1:$I$89,3,0)*VLOOKUP('Données projet'!$B$13,Paramètres!$A$1:$I$89,5,0)</f>
        <v>169.45799999999994</v>
      </c>
      <c r="CV60" s="14">
        <f t="shared" si="41"/>
        <v>42.968611063971913</v>
      </c>
      <c r="CW60" s="22">
        <f t="shared" si="13"/>
        <v>369.97634760308432</v>
      </c>
      <c r="CX60" s="62">
        <f t="shared" si="14"/>
        <v>663.30968093641764</v>
      </c>
      <c r="CY60" s="62">
        <f ca="1">AVERAGE(OFFSET($CX$3,0,0,'Données projet'!$E$13+1,1))-AVERAGE(OFFSET($H$3,0,0,'Données projet'!$E$13+1,1))</f>
        <v>351.34897243264044</v>
      </c>
      <c r="CZ60" s="62">
        <f t="shared" si="42"/>
        <v>268.39685058071603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5.2564102564102599</v>
      </c>
      <c r="DO60" s="13">
        <f>IF('Données projet'!$A$166&gt;35,DO59+DN60-DW59,IF(A60&lt;'Données projet'!$A$166,$DL$205^A60,IF(A60='Données projet'!$A$166,'Données projet'!$B$166,DO59+DN60-DW59)))</f>
        <v>211.79487179487165</v>
      </c>
      <c r="DP60" s="18">
        <f>DO60*VLOOKUP('Données projet'!$B$14,Paramètres!$A$1:$I$89,3,0)*VLOOKUP('Données projet'!$B$14,Paramètres!$A$1:$I$89,5,0)</f>
        <v>142.07199999999992</v>
      </c>
      <c r="DQ60" s="14">
        <f t="shared" si="43"/>
        <v>36.77126497497774</v>
      </c>
      <c r="DR60" s="22">
        <f t="shared" si="16"/>
        <v>311.48535316475278</v>
      </c>
      <c r="DS60" s="62">
        <f t="shared" si="17"/>
        <v>604.81868649808609</v>
      </c>
      <c r="DT60" s="62">
        <f ca="1">AVERAGE(OFFSET($DS$3,0,0,'Données projet'!$E$14+1,1))-AVERAGE(OFFSET($H$3,0,0,'Données projet'!$E$14+1,1))</f>
        <v>290.46086333591074</v>
      </c>
      <c r="DU60" s="62">
        <f t="shared" si="44"/>
        <v>236.8495901994267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7.4</v>
      </c>
      <c r="EJ60" s="13">
        <f>IF('Données projet'!$A$192&gt;35,EJ59+EI60-ER59,IF(A60&lt;'Données projet'!$A$192,$EG$205^A60,IF(A60='Données projet'!$A$192,'Données projet'!$B$192,EJ59+EI60-ER59)))</f>
        <v>280.79999999999995</v>
      </c>
      <c r="EK60" s="18">
        <f>EJ60*VLOOKUP('Données projet'!$B$15,Paramètres!$A$1:$I$89,3,0)*VLOOKUP('Données projet'!$B$15,Paramètres!$A$1:$I$89,5,0)</f>
        <v>227.78495999999998</v>
      </c>
      <c r="EL60" s="14">
        <f t="shared" si="45"/>
        <v>55.803468680001743</v>
      </c>
      <c r="EM60" s="22">
        <f t="shared" si="19"/>
        <v>493.91651328433619</v>
      </c>
      <c r="EN60" s="62">
        <f t="shared" si="20"/>
        <v>787.2498466176695</v>
      </c>
      <c r="EO60" s="62">
        <f ca="1">AVERAGE(OFFSET($EN$3,0,0,'Données projet'!$E$15+1,1))-AVERAGE(OFFSET($H$3,0,0,'Données projet'!$E$15+1,1))</f>
        <v>256.19915261735281</v>
      </c>
      <c r="EP60" s="62">
        <f t="shared" si="46"/>
        <v>297.47246687305056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14.833333333333334</v>
      </c>
      <c r="N61" s="14">
        <f>IF('Données projet'!$A$36&gt;35,N60+M61-V60,IF(A61&lt;'Données projet'!$A$36,$K$205^A61,IF(A61='Données projet'!$A$36,'Données projet'!$B$36,N60+M61-V60)))</f>
        <v>265.3333333333332</v>
      </c>
      <c r="O61" s="14">
        <f>N61*VLOOKUP('Données projet'!$B$9,Paramètres!$A$1:$I$89,3,0)*VLOOKUP('Données projet'!$B$9,Paramètres!$A$1:$I$89,5,0)</f>
        <v>227.65599999999992</v>
      </c>
      <c r="P61" s="14">
        <f t="shared" si="33"/>
        <v>55.775552165489643</v>
      </c>
      <c r="Q61" s="22">
        <f t="shared" si="53"/>
        <v>493.64328668822759</v>
      </c>
      <c r="R61" s="62">
        <f t="shared" si="0"/>
        <v>786.97662002156085</v>
      </c>
      <c r="S61" s="62">
        <f ca="1">AVERAGE(OFFSET($R$3,0,0,'Données projet'!$E$9+1,1))-AVERAGE(OFFSET($H$3,0,0,'Données projet'!$E$9+1,1))</f>
        <v>446.27304516866047</v>
      </c>
      <c r="T61" s="62">
        <f t="shared" si="34"/>
        <v>230.82970731138215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7.2</v>
      </c>
      <c r="AI61" s="14">
        <f>IF('Données projet'!$A$62&gt;35,AI60+AH61-AQ60,IF(A61&lt;'Données projet'!$A$62,$AF$205^A61,IF(A61='Données projet'!$A$62,'Données projet'!$B$62,AI60+AH61-AQ60)))</f>
        <v>345.5999999999998</v>
      </c>
      <c r="AJ61" s="14">
        <f>AI61*VLOOKUP('Données projet'!$B$10,Paramètres!$A$1:$I$89,3,0)*VLOOKUP('Données projet'!$B$10,Paramètres!$A$1:$I$89,5,0)</f>
        <v>274.95935999999983</v>
      </c>
      <c r="AK61" s="14">
        <f t="shared" si="35"/>
        <v>65.90065312005008</v>
      </c>
      <c r="AL61" s="22">
        <f t="shared" si="4"/>
        <v>593.66452285075354</v>
      </c>
      <c r="AM61" s="62">
        <f t="shared" si="5"/>
        <v>886.99785618408691</v>
      </c>
      <c r="AN61" s="62">
        <f ca="1">AVERAGE(OFFSET($AM$3,0,0,'Données projet'!$E$10+1,1))-AVERAGE(OFFSET($H$3,0,0,'Données projet'!$E$10+1,1))</f>
        <v>427.78067187784063</v>
      </c>
      <c r="AO61" s="62">
        <f t="shared" si="36"/>
        <v>464.22892523825118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9.375</v>
      </c>
      <c r="BD61" s="13">
        <f>IF('Données projet'!$A$88&gt;35,BD60+BC61-BL60,IF(A61&lt;'Données projet'!$A$88,$BA$205^A61,IF(A61='Données projet'!$A$88,'Données projet'!$B$88,BD60+BC61-BL60)))</f>
        <v>278.25</v>
      </c>
      <c r="BE61" s="14">
        <f>BD61*VLOOKUP('Données projet'!$B$11,Paramètres!$A$1:$I$89,3,0)*VLOOKUP('Données projet'!$B$11,Paramètres!$A$1:$I$89,5,0)</f>
        <v>217.035</v>
      </c>
      <c r="BF61" s="14">
        <f t="shared" si="37"/>
        <v>53.469949591969524</v>
      </c>
      <c r="BG61" s="22">
        <f t="shared" si="7"/>
        <v>471.12945387268024</v>
      </c>
      <c r="BH61" s="62">
        <f t="shared" si="8"/>
        <v>764.46278720601356</v>
      </c>
      <c r="BI61" s="62">
        <f ca="1">AVERAGE(OFFSET($BH$3,0,0,'Données projet'!$E$11+1,1))-AVERAGE(OFFSET($H$3,0,0,'Données projet'!$E$11+1,1))</f>
        <v>312.09994042858187</v>
      </c>
      <c r="BJ61" s="62">
        <f t="shared" si="38"/>
        <v>283.48738729114024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6.2</v>
      </c>
      <c r="BY61" s="13">
        <f>IF('Données projet'!$A$114&gt;35,BY60+BX61-CG60,IF(A61&lt;'Données projet'!$A$114,$BV$205^A61,IF(A61='Données projet'!$A$114,'Données projet'!$B$114,BY60+BX61-CG60)))</f>
        <v>297.59999999999997</v>
      </c>
      <c r="BZ61" s="14">
        <f>BY61*VLOOKUP('Données projet'!$B$12,Paramètres!$A$1:$I$89,3,0)*VLOOKUP('Données projet'!$B$12,Paramètres!$A$1:$I$89,5,0)</f>
        <v>236.77055999999999</v>
      </c>
      <c r="CA61" s="14">
        <f t="shared" si="39"/>
        <v>57.744153841586929</v>
      </c>
      <c r="CB61" s="22">
        <f t="shared" si="10"/>
        <v>512.94645994076382</v>
      </c>
      <c r="CC61" s="62">
        <f t="shared" si="11"/>
        <v>806.27979327409707</v>
      </c>
      <c r="CD61" s="62">
        <f ca="1">AVERAGE(OFFSET($CC$3,0,0,'Données projet'!$E$12+1,1))-AVERAGE(OFFSET($H$3,0,0,'Données projet'!$E$12+1,1))</f>
        <v>370.79299728190904</v>
      </c>
      <c r="CE61" s="62">
        <f t="shared" si="40"/>
        <v>404.95703400805775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4.7435897435897401</v>
      </c>
      <c r="CT61" s="13">
        <f>IF('Données projet'!$A$140&gt;35,CT60+CS61-DB60,IF(A61&lt;'Données projet'!$A$140,$CQ$205^A61,IF(A61='Données projet'!$A$140,'Données projet'!$B$140,CT60+CS61-DB60)))</f>
        <v>182.82051282051276</v>
      </c>
      <c r="CU61" s="18">
        <f>CT61*VLOOKUP('Données projet'!$B$13,Paramètres!$A$1:$I$89,3,0)*VLOOKUP('Données projet'!$B$13,Paramètres!$A$1:$I$89,5,0)</f>
        <v>173.97199999999995</v>
      </c>
      <c r="CV61" s="14">
        <f t="shared" si="41"/>
        <v>43.978420148554378</v>
      </c>
      <c r="CW61" s="22">
        <f t="shared" si="13"/>
        <v>379.59698175873206</v>
      </c>
      <c r="CX61" s="62">
        <f t="shared" si="14"/>
        <v>672.93031509206537</v>
      </c>
      <c r="CY61" s="62">
        <f ca="1">AVERAGE(OFFSET($CX$3,0,0,'Données projet'!$E$13+1,1))-AVERAGE(OFFSET($H$3,0,0,'Données projet'!$E$13+1,1))</f>
        <v>351.34897243264044</v>
      </c>
      <c r="CZ61" s="62">
        <f t="shared" si="42"/>
        <v>268.39685058071603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5.2564102564102599</v>
      </c>
      <c r="DO61" s="13">
        <f>IF('Données projet'!$A$166&gt;35,DO60+DN61-DW60,IF(A61&lt;'Données projet'!$A$166,$DL$205^A61,IF(A61='Données projet'!$A$166,'Données projet'!$B$166,DO60+DN61-DW60)))</f>
        <v>217.0512820512819</v>
      </c>
      <c r="DP61" s="18">
        <f>DO61*VLOOKUP('Données projet'!$B$14,Paramètres!$A$1:$I$89,3,0)*VLOOKUP('Données projet'!$B$14,Paramètres!$A$1:$I$89,5,0)</f>
        <v>145.5979999999999</v>
      </c>
      <c r="DQ61" s="14">
        <f t="shared" si="43"/>
        <v>37.576487761782751</v>
      </c>
      <c r="DR61" s="22">
        <f t="shared" si="16"/>
        <v>319.0288995184381</v>
      </c>
      <c r="DS61" s="62">
        <f t="shared" si="17"/>
        <v>612.36223285177141</v>
      </c>
      <c r="DT61" s="62">
        <f ca="1">AVERAGE(OFFSET($DS$3,0,0,'Données projet'!$E$14+1,1))-AVERAGE(OFFSET($H$3,0,0,'Données projet'!$E$14+1,1))</f>
        <v>290.46086333591074</v>
      </c>
      <c r="DU61" s="62">
        <f t="shared" si="44"/>
        <v>236.8495901994267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7.4</v>
      </c>
      <c r="EJ61" s="13">
        <f>IF('Données projet'!$A$192&gt;35,EJ60+EI61-ER60,IF(A61&lt;'Données projet'!$A$192,$EG$205^A61,IF(A61='Données projet'!$A$192,'Données projet'!$B$192,EJ60+EI61-ER60)))</f>
        <v>288.19999999999993</v>
      </c>
      <c r="EK61" s="18">
        <f>EJ61*VLOOKUP('Données projet'!$B$15,Paramètres!$A$1:$I$89,3,0)*VLOOKUP('Données projet'!$B$15,Paramètres!$A$1:$I$89,5,0)</f>
        <v>233.78783999999996</v>
      </c>
      <c r="EL61" s="14">
        <f t="shared" si="45"/>
        <v>57.100920847849451</v>
      </c>
      <c r="EM61" s="22">
        <f t="shared" si="19"/>
        <v>506.63125847667106</v>
      </c>
      <c r="EN61" s="62">
        <f t="shared" si="20"/>
        <v>799.96459181000432</v>
      </c>
      <c r="EO61" s="62">
        <f ca="1">AVERAGE(OFFSET($EN$3,0,0,'Données projet'!$E$15+1,1))-AVERAGE(OFFSET($H$3,0,0,'Données projet'!$E$15+1,1))</f>
        <v>256.19915261735281</v>
      </c>
      <c r="EP61" s="62">
        <f t="shared" si="46"/>
        <v>297.47246687305056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14.833333333333334</v>
      </c>
      <c r="N62" s="14">
        <f>IF('Données projet'!$A$36&gt;35,N61+M62-V61,IF(A62&lt;'Données projet'!$A$36,$K$205^A62,IF(A62='Données projet'!$A$36,'Données projet'!$B$36,N61+M62-V61)))</f>
        <v>280.16666666666652</v>
      </c>
      <c r="O62" s="14">
        <f>N62*VLOOKUP('Données projet'!$B$9,Paramètres!$A$1:$I$89,3,0)*VLOOKUP('Données projet'!$B$9,Paramètres!$A$1:$I$89,5,0)</f>
        <v>240.38299999999987</v>
      </c>
      <c r="P62" s="14">
        <f t="shared" si="33"/>
        <v>58.521927148992098</v>
      </c>
      <c r="Q62" s="22">
        <f t="shared" si="53"/>
        <v>520.59274811782768</v>
      </c>
      <c r="R62" s="62">
        <f t="shared" si="0"/>
        <v>813.92608145116105</v>
      </c>
      <c r="S62" s="62">
        <f ca="1">AVERAGE(OFFSET($R$3,0,0,'Données projet'!$E$9+1,1))-AVERAGE(OFFSET($H$3,0,0,'Données projet'!$E$9+1,1))</f>
        <v>446.27304516866047</v>
      </c>
      <c r="T62" s="62">
        <f t="shared" si="34"/>
        <v>230.82970731138215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7.2</v>
      </c>
      <c r="AI62" s="14">
        <f>IF('Données projet'!$A$62&gt;35,AI61+AH62-AQ61,IF(A62&lt;'Données projet'!$A$62,$AF$205^A62,IF(A62='Données projet'!$A$62,'Données projet'!$B$62,AI61+AH62-AQ61)))</f>
        <v>352.79999999999978</v>
      </c>
      <c r="AJ62" s="14">
        <f>AI62*VLOOKUP('Données projet'!$B$10,Paramètres!$A$1:$I$89,3,0)*VLOOKUP('Données projet'!$B$10,Paramètres!$A$1:$I$89,5,0)</f>
        <v>280.68767999999983</v>
      </c>
      <c r="AK62" s="14">
        <f t="shared" si="35"/>
        <v>67.11231467966806</v>
      </c>
      <c r="AL62" s="22">
        <f t="shared" si="4"/>
        <v>605.75165740042155</v>
      </c>
      <c r="AM62" s="62">
        <f t="shared" si="5"/>
        <v>899.08499073375492</v>
      </c>
      <c r="AN62" s="62">
        <f ca="1">AVERAGE(OFFSET($AM$3,0,0,'Données projet'!$E$10+1,1))-AVERAGE(OFFSET($H$3,0,0,'Données projet'!$E$10+1,1))</f>
        <v>427.78067187784063</v>
      </c>
      <c r="AO62" s="62">
        <f t="shared" si="36"/>
        <v>464.22892523825118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9.375</v>
      </c>
      <c r="BD62" s="13">
        <f>IF('Données projet'!$A$88&gt;35,BD61+BC62-BL61,IF(A62&lt;'Données projet'!$A$88,$BA$205^A62,IF(A62='Données projet'!$A$88,'Données projet'!$B$88,BD61+BC62-BL61)))</f>
        <v>287.625</v>
      </c>
      <c r="BE62" s="14">
        <f>BD62*VLOOKUP('Données projet'!$B$11,Paramètres!$A$1:$I$89,3,0)*VLOOKUP('Données projet'!$B$11,Paramètres!$A$1:$I$89,5,0)</f>
        <v>224.3475</v>
      </c>
      <c r="BF62" s="14">
        <f t="shared" si="37"/>
        <v>55.058714525680479</v>
      </c>
      <c r="BG62" s="22">
        <f t="shared" si="7"/>
        <v>486.63249029889352</v>
      </c>
      <c r="BH62" s="62">
        <f t="shared" si="8"/>
        <v>779.96582363222683</v>
      </c>
      <c r="BI62" s="62">
        <f ca="1">AVERAGE(OFFSET($BH$3,0,0,'Données projet'!$E$11+1,1))-AVERAGE(OFFSET($H$3,0,0,'Données projet'!$E$11+1,1))</f>
        <v>312.09994042858187</v>
      </c>
      <c r="BJ62" s="62">
        <f t="shared" si="38"/>
        <v>283.48738729114024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6.2</v>
      </c>
      <c r="BY62" s="13">
        <f>IF('Données projet'!$A$114&gt;35,BY61+BX62-CG61,IF(A62&lt;'Données projet'!$A$114,$BV$205^A62,IF(A62='Données projet'!$A$114,'Données projet'!$B$114,BY61+BX62-CG61)))</f>
        <v>303.79999999999995</v>
      </c>
      <c r="BZ62" s="14">
        <f>BY62*VLOOKUP('Données projet'!$B$12,Paramètres!$A$1:$I$89,3,0)*VLOOKUP('Données projet'!$B$12,Paramètres!$A$1:$I$89,5,0)</f>
        <v>241.70327999999998</v>
      </c>
      <c r="CA62" s="14">
        <f t="shared" si="39"/>
        <v>58.805848501502631</v>
      </c>
      <c r="CB62" s="22">
        <f t="shared" si="10"/>
        <v>523.38673214011703</v>
      </c>
      <c r="CC62" s="62">
        <f t="shared" si="11"/>
        <v>816.7200654734504</v>
      </c>
      <c r="CD62" s="62">
        <f ca="1">AVERAGE(OFFSET($CC$3,0,0,'Données projet'!$E$12+1,1))-AVERAGE(OFFSET($H$3,0,0,'Données projet'!$E$12+1,1))</f>
        <v>370.79299728190904</v>
      </c>
      <c r="CE62" s="62">
        <f t="shared" si="40"/>
        <v>404.95703400805775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4.7435897435897401</v>
      </c>
      <c r="CT62" s="13">
        <f>IF('Données projet'!$A$140&gt;35,CT61+CS62-DB61,IF(A62&lt;'Données projet'!$A$140,$CQ$205^A62,IF(A62='Données projet'!$A$140,'Données projet'!$B$140,CT61+CS62-DB61)))</f>
        <v>187.56410256410251</v>
      </c>
      <c r="CU62" s="18">
        <f>CT62*VLOOKUP('Données projet'!$B$13,Paramètres!$A$1:$I$89,3,0)*VLOOKUP('Données projet'!$B$13,Paramètres!$A$1:$I$89,5,0)</f>
        <v>178.48599999999996</v>
      </c>
      <c r="CV62" s="14">
        <f t="shared" si="41"/>
        <v>44.985183651187008</v>
      </c>
      <c r="CW62" s="22">
        <f t="shared" si="13"/>
        <v>389.21231152581731</v>
      </c>
      <c r="CX62" s="62">
        <f t="shared" si="14"/>
        <v>682.54564485915057</v>
      </c>
      <c r="CY62" s="62">
        <f ca="1">AVERAGE(OFFSET($CX$3,0,0,'Données projet'!$E$13+1,1))-AVERAGE(OFFSET($H$3,0,0,'Données projet'!$E$13+1,1))</f>
        <v>351.34897243264044</v>
      </c>
      <c r="CZ62" s="62">
        <f t="shared" si="42"/>
        <v>268.39685058071603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5.2564102564102599</v>
      </c>
      <c r="DO62" s="13">
        <f>IF('Données projet'!$A$166&gt;35,DO61+DN62-DW61,IF(A62&lt;'Données projet'!$A$166,$DL$205^A62,IF(A62='Données projet'!$A$166,'Données projet'!$B$166,DO61+DN62-DW61)))</f>
        <v>222.30769230769215</v>
      </c>
      <c r="DP62" s="18">
        <f>DO62*VLOOKUP('Données projet'!$B$14,Paramètres!$A$1:$I$89,3,0)*VLOOKUP('Données projet'!$B$14,Paramètres!$A$1:$I$89,5,0)</f>
        <v>149.12399999999991</v>
      </c>
      <c r="DQ62" s="14">
        <f t="shared" si="43"/>
        <v>38.379443667029371</v>
      </c>
      <c r="DR62" s="22">
        <f t="shared" si="16"/>
        <v>326.56849772007598</v>
      </c>
      <c r="DS62" s="62">
        <f t="shared" si="17"/>
        <v>619.9018310534093</v>
      </c>
      <c r="DT62" s="62">
        <f ca="1">AVERAGE(OFFSET($DS$3,0,0,'Données projet'!$E$14+1,1))-AVERAGE(OFFSET($H$3,0,0,'Données projet'!$E$14+1,1))</f>
        <v>290.46086333591074</v>
      </c>
      <c r="DU62" s="62">
        <f t="shared" si="44"/>
        <v>236.8495901994267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7.4</v>
      </c>
      <c r="EJ62" s="13">
        <f>IF('Données projet'!$A$192&gt;35,EJ61+EI62-ER61,IF(A62&lt;'Données projet'!$A$192,$EG$205^A62,IF(A62='Données projet'!$A$192,'Données projet'!$B$192,EJ61+EI62-ER61)))</f>
        <v>295.59999999999991</v>
      </c>
      <c r="EK62" s="18">
        <f>EJ62*VLOOKUP('Données projet'!$B$15,Paramètres!$A$1:$I$89,3,0)*VLOOKUP('Données projet'!$B$15,Paramètres!$A$1:$I$89,5,0)</f>
        <v>239.79071999999994</v>
      </c>
      <c r="EL62" s="14">
        <f t="shared" si="45"/>
        <v>58.394500584818381</v>
      </c>
      <c r="EM62" s="22">
        <f t="shared" si="19"/>
        <v>519.33925918522516</v>
      </c>
      <c r="EN62" s="62">
        <f t="shared" si="20"/>
        <v>812.67259251855853</v>
      </c>
      <c r="EO62" s="62">
        <f ca="1">AVERAGE(OFFSET($EN$3,0,0,'Données projet'!$E$15+1,1))-AVERAGE(OFFSET($H$3,0,0,'Données projet'!$E$15+1,1))</f>
        <v>256.19915261735281</v>
      </c>
      <c r="EP62" s="62">
        <f t="shared" si="46"/>
        <v>297.47246687305056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295</v>
      </c>
      <c r="L63" s="13">
        <f>VLOOKUP(A63,'Données projet'!$A$35:$I$55,9,0)</f>
        <v>14.833333333333334</v>
      </c>
      <c r="M63" s="13">
        <f t="array" ref="M63">INDEX(L:L,MIN(IF(ISNUMBER(L63:L259),ROW(L63:L259),"")))</f>
        <v>14.833333333333334</v>
      </c>
      <c r="N63" s="14">
        <f>IF('Données projet'!$A$36&gt;35,N62+M63-V62,IF(A63&lt;'Données projet'!$A$36,$K$205^A63,IF(A63='Données projet'!$A$36,'Données projet'!$B$36,N62+M63-V62)))</f>
        <v>294.99999999999983</v>
      </c>
      <c r="O63" s="14">
        <f>N63*VLOOKUP('Données projet'!$B$9,Paramètres!$A$1:$I$89,3,0)*VLOOKUP('Données projet'!$B$9,Paramètres!$A$1:$I$89,5,0)</f>
        <v>253.10999999999987</v>
      </c>
      <c r="P63" s="14">
        <f t="shared" si="33"/>
        <v>61.251420602177625</v>
      </c>
      <c r="Q63" s="22">
        <f t="shared" si="53"/>
        <v>547.51280754879247</v>
      </c>
      <c r="R63" s="62">
        <f t="shared" si="0"/>
        <v>840.84614088212584</v>
      </c>
      <c r="S63" s="62">
        <f ca="1">AVERAGE(OFFSET($R$3,0,0,'Données projet'!$E$9+1,1))-AVERAGE(OFFSET($H$3,0,0,'Données projet'!$E$9+1,1))</f>
        <v>446.27304516866047</v>
      </c>
      <c r="T63" s="62">
        <f t="shared" si="34"/>
        <v>230.82970731138215</v>
      </c>
      <c r="U63" s="16">
        <f>IF(ISNA(VLOOKUP(A63,'Données projet'!$A$35:$I$55,3,0)),0,VLOOKUP(A63,'Données projet'!$A$35:$I$55,3,0))</f>
        <v>7</v>
      </c>
      <c r="V63" s="16">
        <f>IF(ISNA(VLOOKUP(A63,'Données projet'!$A$35:$I$55,4,0)),0,VLOOKUP(A63,'Données projet'!$A$35:$I$55,4,0))</f>
        <v>61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360</v>
      </c>
      <c r="AG63" s="13">
        <f>VLOOKUP(A63,'Données projet'!$A$61:$I$81,9,0)</f>
        <v>7.2</v>
      </c>
      <c r="AH63" s="13">
        <f t="array" ref="AH63">INDEX(AG:AG,MIN(IF(ISNUMBER(AG63:AG259),ROW(AG63:AG259),"")))</f>
        <v>7.2</v>
      </c>
      <c r="AI63" s="14">
        <f>IF('Données projet'!$A$62&gt;35,AI62+AH63-AQ62,IF(A63&lt;'Données projet'!$A$62,$AF$205^A63,IF(A63='Données projet'!$A$62,'Données projet'!$B$62,AI62+AH63-AQ62)))</f>
        <v>359.99999999999977</v>
      </c>
      <c r="AJ63" s="14">
        <f>AI63*VLOOKUP('Données projet'!$B$10,Paramètres!$A$1:$I$89,3,0)*VLOOKUP('Données projet'!$B$10,Paramètres!$A$1:$I$89,5,0)</f>
        <v>286.41599999999983</v>
      </c>
      <c r="AK63" s="14">
        <f t="shared" si="35"/>
        <v>68.321101129951188</v>
      </c>
      <c r="AL63" s="22">
        <f t="shared" si="4"/>
        <v>617.83378446799804</v>
      </c>
      <c r="AM63" s="62">
        <f t="shared" si="5"/>
        <v>911.16711780133141</v>
      </c>
      <c r="AN63" s="62">
        <f ca="1">AVERAGE(OFFSET($AM$3,0,0,'Données projet'!$E$10+1,1))-AVERAGE(OFFSET($H$3,0,0,'Données projet'!$E$10+1,1))</f>
        <v>427.78067187784063</v>
      </c>
      <c r="AO63" s="62">
        <f t="shared" si="36"/>
        <v>464.22892523825118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35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297</v>
      </c>
      <c r="BB63" s="13">
        <f>VLOOKUP(A63,'Données projet'!$A$87:$I$107,9,0)</f>
        <v>9.375</v>
      </c>
      <c r="BC63" s="13">
        <f t="array" ref="BC63">INDEX(BB:BB,MIN(IF(ISNUMBER(BB63:BB259),ROW(BB63:BB259),"")))</f>
        <v>9.375</v>
      </c>
      <c r="BD63" s="13">
        <f>IF('Données projet'!$A$88&gt;35,BD62+BC63-BL62,IF(A63&lt;'Données projet'!$A$88,$BA$205^A63,IF(A63='Données projet'!$A$88,'Données projet'!$B$88,BD62+BC63-BL62)))</f>
        <v>297</v>
      </c>
      <c r="BE63" s="14">
        <f>BD63*VLOOKUP('Données projet'!$B$11,Paramètres!$A$1:$I$89,3,0)*VLOOKUP('Données projet'!$B$11,Paramètres!$A$1:$I$89,5,0)</f>
        <v>231.66</v>
      </c>
      <c r="BF63" s="14">
        <f t="shared" si="37"/>
        <v>56.641461975682766</v>
      </c>
      <c r="BG63" s="22">
        <f t="shared" si="7"/>
        <v>502.12504627431412</v>
      </c>
      <c r="BH63" s="62">
        <f t="shared" si="8"/>
        <v>795.45837960764743</v>
      </c>
      <c r="BI63" s="62">
        <f ca="1">AVERAGE(OFFSET($BH$3,0,0,'Données projet'!$E$11+1,1))-AVERAGE(OFFSET($H$3,0,0,'Données projet'!$E$11+1,1))</f>
        <v>312.09994042858187</v>
      </c>
      <c r="BJ63" s="62">
        <f t="shared" si="38"/>
        <v>283.48738729114024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310</v>
      </c>
      <c r="BW63" s="13">
        <f>VLOOKUP(A63,'Données projet'!$A$113:$I$133,9,0)</f>
        <v>6.2</v>
      </c>
      <c r="BX63" s="13">
        <f t="array" ref="BX63">INDEX(BW:BW,MIN(IF(ISNUMBER(BW63:BW259),ROW(BW63:BW259),"")))</f>
        <v>6.2</v>
      </c>
      <c r="BY63" s="13">
        <f>IF('Données projet'!$A$114&gt;35,BY62+BX63-CG62,IF(A63&lt;'Données projet'!$A$114,$BV$205^A63,IF(A63='Données projet'!$A$114,'Données projet'!$B$114,BY62+BX63-CG62)))</f>
        <v>309.99999999999994</v>
      </c>
      <c r="BZ63" s="14">
        <f>BY63*VLOOKUP('Données projet'!$B$12,Paramètres!$A$1:$I$89,3,0)*VLOOKUP('Données projet'!$B$12,Paramètres!$A$1:$I$89,5,0)</f>
        <v>246.63599999999997</v>
      </c>
      <c r="CA63" s="14">
        <f t="shared" si="39"/>
        <v>59.865023903294535</v>
      </c>
      <c r="CB63" s="22">
        <f t="shared" si="10"/>
        <v>533.82261663157112</v>
      </c>
      <c r="CC63" s="62">
        <f t="shared" si="11"/>
        <v>827.15594996490449</v>
      </c>
      <c r="CD63" s="62">
        <f ca="1">AVERAGE(OFFSET($CC$3,0,0,'Données projet'!$E$12+1,1))-AVERAGE(OFFSET($H$3,0,0,'Données projet'!$E$12+1,1))</f>
        <v>370.79299728190904</v>
      </c>
      <c r="CE63" s="62">
        <f t="shared" si="40"/>
        <v>404.95703400805775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30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192.30769230769229</v>
      </c>
      <c r="CR63" s="13">
        <f>VLOOKUP(A63,'Données projet'!$A$139:$I$159,9,0)</f>
        <v>4.7435897435897401</v>
      </c>
      <c r="CS63" s="13">
        <f t="array" ref="CS63">INDEX(CR:CR,MIN(IF(ISNUMBER(CR63:CR259),ROW(CR63:CR259),"")))</f>
        <v>4.7435897435897401</v>
      </c>
      <c r="CT63" s="13">
        <f>IF('Données projet'!$A$140&gt;35,CT62+CS63-DB62,IF(A63&lt;'Données projet'!$A$140,$CQ$205^A63,IF(A63='Données projet'!$A$140,'Données projet'!$B$140,CT62+CS63-DB62)))</f>
        <v>192.30769230769226</v>
      </c>
      <c r="CU63" s="18">
        <f>CT63*VLOOKUP('Données projet'!$B$13,Paramètres!$A$1:$I$89,3,0)*VLOOKUP('Données projet'!$B$13,Paramètres!$A$1:$I$89,5,0)</f>
        <v>182.99999999999997</v>
      </c>
      <c r="CV63" s="14">
        <f t="shared" si="41"/>
        <v>45.988987453862549</v>
      </c>
      <c r="CW63" s="22">
        <f t="shared" si="13"/>
        <v>398.82248648214392</v>
      </c>
      <c r="CX63" s="62">
        <f t="shared" si="14"/>
        <v>692.15581981547723</v>
      </c>
      <c r="CY63" s="62">
        <f ca="1">AVERAGE(OFFSET($CX$3,0,0,'Données projet'!$E$13+1,1))-AVERAGE(OFFSET($H$3,0,0,'Données projet'!$E$13+1,1))</f>
        <v>351.34897243264044</v>
      </c>
      <c r="CZ63" s="62">
        <f t="shared" si="42"/>
        <v>268.39685058071603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28.205128205128204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227.56410256410257</v>
      </c>
      <c r="DM63" s="13">
        <f>VLOOKUP(A63,'Données projet'!$A$165:$I$185,9,0)</f>
        <v>5.2564102564102599</v>
      </c>
      <c r="DN63" s="13">
        <f t="array" ref="DN63">INDEX(DM:DM,MIN(IF(ISNUMBER(DM63:DM259),ROW(DM63:DM259),"")))</f>
        <v>5.2564102564102599</v>
      </c>
      <c r="DO63" s="13">
        <f>IF('Données projet'!$A$166&gt;35,DO62+DN63-DW62,IF(A63&lt;'Données projet'!$A$166,$DL$205^A63,IF(A63='Données projet'!$A$166,'Données projet'!$B$166,DO62+DN63-DW62)))</f>
        <v>227.5641025641024</v>
      </c>
      <c r="DP63" s="18">
        <f>DO63*VLOOKUP('Données projet'!$B$14,Paramètres!$A$1:$I$89,3,0)*VLOOKUP('Données projet'!$B$14,Paramètres!$A$1:$I$89,5,0)</f>
        <v>152.64999999999989</v>
      </c>
      <c r="DQ63" s="14">
        <f t="shared" si="43"/>
        <v>39.180192458581644</v>
      </c>
      <c r="DR63" s="22">
        <f t="shared" si="16"/>
        <v>334.10425186536281</v>
      </c>
      <c r="DS63" s="62">
        <f t="shared" si="17"/>
        <v>627.43758519869607</v>
      </c>
      <c r="DT63" s="62">
        <f ca="1">AVERAGE(OFFSET($DS$3,0,0,'Données projet'!$E$14+1,1))-AVERAGE(OFFSET($H$3,0,0,'Données projet'!$E$14+1,1))</f>
        <v>290.46086333591074</v>
      </c>
      <c r="DU63" s="62">
        <f t="shared" si="44"/>
        <v>236.8495901994267</v>
      </c>
      <c r="DV63" s="16">
        <f>IF(ISNA(VLOOKUP(A63,'Données projet'!$A$165:$I$185,3,0)),0,VLOOKUP(A63,'Données projet'!$A$165:$I$185,3,0))</f>
        <v>5</v>
      </c>
      <c r="DW63" s="16">
        <f>IF(ISNA(VLOOKUP(A63,'Données projet'!$A$165:$I$185,4,0)),0,VLOOKUP(A63,'Données projet'!$A$165:$I$185,4,0))</f>
        <v>28.846153846153847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303</v>
      </c>
      <c r="EH63" s="13">
        <f>VLOOKUP(A63,'Données projet'!$A$191:$I$211,9,0)</f>
        <v>7.4</v>
      </c>
      <c r="EI63" s="13">
        <f t="array" ref="EI63">INDEX(EH:EH,MIN(IF(ISNUMBER(EH63:EH259),ROW(EH63:EH259),"")))</f>
        <v>7.4</v>
      </c>
      <c r="EJ63" s="13">
        <f>IF('Données projet'!$A$192&gt;35,EJ62+EI63-ER62,IF(A63&lt;'Données projet'!$A$192,$EG$205^A63,IF(A63='Données projet'!$A$192,'Données projet'!$B$192,EJ62+EI63-ER62)))</f>
        <v>302.99999999999989</v>
      </c>
      <c r="EK63" s="18">
        <f>EJ63*VLOOKUP('Données projet'!$B$15,Paramètres!$A$1:$I$89,3,0)*VLOOKUP('Données projet'!$B$15,Paramètres!$A$1:$I$89,5,0)</f>
        <v>245.79359999999991</v>
      </c>
      <c r="EL63" s="14">
        <f t="shared" si="45"/>
        <v>59.684315982017168</v>
      </c>
      <c r="EM63" s="22">
        <f t="shared" si="19"/>
        <v>532.04070366867973</v>
      </c>
      <c r="EN63" s="62">
        <f t="shared" si="20"/>
        <v>825.37403700201298</v>
      </c>
      <c r="EO63" s="62">
        <f ca="1">AVERAGE(OFFSET($EN$3,0,0,'Données projet'!$E$15+1,1))-AVERAGE(OFFSET($H$3,0,0,'Données projet'!$E$15+1,1))</f>
        <v>256.19915261735281</v>
      </c>
      <c r="EP63" s="62">
        <f t="shared" si="46"/>
        <v>297.47246687305056</v>
      </c>
      <c r="EQ63" s="16">
        <f>IF(ISNA(VLOOKUP(A63,'Données projet'!$A$191:$I$211,3,0)),0,VLOOKUP(A63,'Données projet'!$A$191:$I$211,3,0))</f>
        <v>3</v>
      </c>
      <c r="ER63" s="16">
        <f>IF(ISNA(VLOOKUP(A63,'Données projet'!$A$191:$I$211,4,0)),0,VLOOKUP(A63,'Données projet'!$A$191:$I$211,4,0))</f>
        <v>303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13.777777777777779</v>
      </c>
      <c r="N64" s="14">
        <f>IF('Données projet'!$A$36&gt;35,N63+M64-V63,IF(A64&lt;'Données projet'!$A$36,$K$205^A64,IF(A64='Données projet'!$A$36,'Données projet'!$B$36,N63+M64-V63)))</f>
        <v>247.7777777777776</v>
      </c>
      <c r="O64" s="14">
        <f>N64*VLOOKUP('Données projet'!$B$9,Paramètres!$A$1:$I$89,3,0)*VLOOKUP('Données projet'!$B$9,Paramètres!$A$1:$I$89,5,0)</f>
        <v>212.59333333333319</v>
      </c>
      <c r="P64" s="14">
        <f t="shared" si="33"/>
        <v>52.501888831663351</v>
      </c>
      <c r="Q64" s="22">
        <f t="shared" si="53"/>
        <v>461.70751193736891</v>
      </c>
      <c r="R64" s="62">
        <f t="shared" si="0"/>
        <v>755.04084527070222</v>
      </c>
      <c r="S64" s="62">
        <f ca="1">AVERAGE(OFFSET($R$3,0,0,'Données projet'!$E$9+1,1))-AVERAGE(OFFSET($H$3,0,0,'Données projet'!$E$9+1,1))</f>
        <v>446.27304516866047</v>
      </c>
      <c r="T64" s="62">
        <f t="shared" si="34"/>
        <v>230.82970731138215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6.2</v>
      </c>
      <c r="AI64" s="14">
        <f>IF('Données projet'!$A$62&gt;35,AI63+AH64-AQ63,IF(A64&lt;'Données projet'!$A$62,$AF$205^A64,IF(A64='Données projet'!$A$62,'Données projet'!$B$62,AI63+AH64-AQ63)))</f>
        <v>331.19999999999976</v>
      </c>
      <c r="AJ64" s="14">
        <f>AI64*VLOOKUP('Données projet'!$B$10,Paramètres!$A$1:$I$89,3,0)*VLOOKUP('Données projet'!$B$10,Paramètres!$A$1:$I$89,5,0)</f>
        <v>263.50271999999984</v>
      </c>
      <c r="AK64" s="14">
        <f t="shared" si="35"/>
        <v>63.468433809179686</v>
      </c>
      <c r="AL64" s="22">
        <f t="shared" si="4"/>
        <v>569.47475955098764</v>
      </c>
      <c r="AM64" s="62">
        <f t="shared" si="5"/>
        <v>862.80809288432101</v>
      </c>
      <c r="AN64" s="62">
        <f ca="1">AVERAGE(OFFSET($AM$3,0,0,'Données projet'!$E$10+1,1))-AVERAGE(OFFSET($H$3,0,0,'Données projet'!$E$10+1,1))</f>
        <v>427.78067187784063</v>
      </c>
      <c r="AO64" s="62">
        <f t="shared" si="36"/>
        <v>464.22892523825118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8.6666666666666661</v>
      </c>
      <c r="BD64" s="13">
        <f>IF('Données projet'!$A$88&gt;35,BD63+BC64-BL63,IF(A64&lt;'Données projet'!$A$88,$BA$205^A64,IF(A64='Données projet'!$A$88,'Données projet'!$B$88,BD63+BC64-BL63)))</f>
        <v>305.66666666666669</v>
      </c>
      <c r="BE64" s="14">
        <f>BD64*VLOOKUP('Données projet'!$B$11,Paramètres!$A$1:$I$89,3,0)*VLOOKUP('Données projet'!$B$11,Paramètres!$A$1:$I$89,5,0)</f>
        <v>238.42000000000002</v>
      </c>
      <c r="BF64" s="14">
        <f t="shared" si="37"/>
        <v>58.099455215392382</v>
      </c>
      <c r="BG64" s="22">
        <f t="shared" si="7"/>
        <v>516.43805116680835</v>
      </c>
      <c r="BH64" s="62">
        <f t="shared" si="8"/>
        <v>809.77138450014172</v>
      </c>
      <c r="BI64" s="62">
        <f ca="1">AVERAGE(OFFSET($BH$3,0,0,'Données projet'!$E$11+1,1))-AVERAGE(OFFSET($H$3,0,0,'Données projet'!$E$11+1,1))</f>
        <v>312.09994042858187</v>
      </c>
      <c r="BJ64" s="62">
        <f t="shared" si="38"/>
        <v>283.48738729114024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5.2</v>
      </c>
      <c r="BY64" s="13">
        <f>IF('Données projet'!$A$114&gt;35,BY63+BX64-CG63,IF(A64&lt;'Données projet'!$A$114,$BV$205^A64,IF(A64='Données projet'!$A$114,'Données projet'!$B$114,BY63+BX64-CG63)))</f>
        <v>285.19999999999993</v>
      </c>
      <c r="BZ64" s="14">
        <f>BY64*VLOOKUP('Données projet'!$B$12,Paramètres!$A$1:$I$89,3,0)*VLOOKUP('Données projet'!$B$12,Paramètres!$A$1:$I$89,5,0)</f>
        <v>226.90511999999995</v>
      </c>
      <c r="CA64" s="14">
        <f t="shared" si="39"/>
        <v>55.612969408444364</v>
      </c>
      <c r="CB64" s="22">
        <f t="shared" si="10"/>
        <v>492.05233905304044</v>
      </c>
      <c r="CC64" s="62">
        <f t="shared" si="11"/>
        <v>785.3856723863737</v>
      </c>
      <c r="CD64" s="62">
        <f ca="1">AVERAGE(OFFSET($CC$3,0,0,'Données projet'!$E$12+1,1))-AVERAGE(OFFSET($H$3,0,0,'Données projet'!$E$12+1,1))</f>
        <v>370.79299728190904</v>
      </c>
      <c r="CE64" s="62">
        <f t="shared" si="40"/>
        <v>404.95703400805775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4.4871794871794863</v>
      </c>
      <c r="CT64" s="13">
        <f>IF('Données projet'!$A$140&gt;35,CT63+CS64-DB63,IF(A64&lt;'Données projet'!$A$140,$CQ$205^A64,IF(A64='Données projet'!$A$140,'Données projet'!$B$140,CT63+CS64-DB63)))</f>
        <v>168.58974358974353</v>
      </c>
      <c r="CU64" s="18">
        <f>CT64*VLOOKUP('Données projet'!$B$13,Paramètres!$A$1:$I$89,3,0)*VLOOKUP('Données projet'!$B$13,Paramètres!$A$1:$I$89,5,0)</f>
        <v>160.42999999999995</v>
      </c>
      <c r="CV64" s="14">
        <f t="shared" si="41"/>
        <v>40.939487952030738</v>
      </c>
      <c r="CW64" s="22">
        <f t="shared" si="13"/>
        <v>350.71852484978677</v>
      </c>
      <c r="CX64" s="62">
        <f t="shared" si="14"/>
        <v>644.05185818312009</v>
      </c>
      <c r="CY64" s="62">
        <f ca="1">AVERAGE(OFFSET($CX$3,0,0,'Données projet'!$E$13+1,1))-AVERAGE(OFFSET($H$3,0,0,'Données projet'!$E$13+1,1))</f>
        <v>351.34897243264044</v>
      </c>
      <c r="CZ64" s="62">
        <f t="shared" si="42"/>
        <v>268.39685058071603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4.7435897435897401</v>
      </c>
      <c r="DO64" s="13">
        <f>IF('Données projet'!$A$166&gt;35,DO63+DN64-DW63,IF(A64&lt;'Données projet'!$A$166,$DL$205^A64,IF(A64='Données projet'!$A$166,'Données projet'!$B$166,DO63+DN64-DW63)))</f>
        <v>203.46153846153831</v>
      </c>
      <c r="DP64" s="18">
        <f>DO64*VLOOKUP('Données projet'!$B$14,Paramètres!$A$1:$I$89,3,0)*VLOOKUP('Données projet'!$B$14,Paramètres!$A$1:$I$89,5,0)</f>
        <v>136.48199999999991</v>
      </c>
      <c r="DQ64" s="14">
        <f t="shared" si="43"/>
        <v>35.489891275121749</v>
      </c>
      <c r="DR64" s="22">
        <f t="shared" si="16"/>
        <v>299.51771063750357</v>
      </c>
      <c r="DS64" s="62">
        <f t="shared" si="17"/>
        <v>592.85104397083683</v>
      </c>
      <c r="DT64" s="62">
        <f ca="1">AVERAGE(OFFSET($DS$3,0,0,'Données projet'!$E$14+1,1))-AVERAGE(OFFSET($H$3,0,0,'Données projet'!$E$14+1,1))</f>
        <v>290.46086333591074</v>
      </c>
      <c r="DU64" s="62">
        <f t="shared" si="44"/>
        <v>236.8495901994267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-1.1368683772161603E-13</v>
      </c>
      <c r="EK64" s="18">
        <f>EJ64*VLOOKUP('Données projet'!$B$15,Paramètres!$A$1:$I$89,3,0)*VLOOKUP('Données projet'!$B$15,Paramètres!$A$1:$I$89,5,0)</f>
        <v>-9.2222762759774927E-14</v>
      </c>
      <c r="EL64" s="14" t="e">
        <f t="shared" si="45"/>
        <v>#NUM!</v>
      </c>
      <c r="EM64" s="22" t="e">
        <f t="shared" si="19"/>
        <v>#NUM!</v>
      </c>
      <c r="EN64" s="62" t="e">
        <f t="shared" si="20"/>
        <v>#NUM!</v>
      </c>
      <c r="EO64" s="62">
        <f ca="1">AVERAGE(OFFSET($EN$3,0,0,'Données projet'!$E$15+1,1))-AVERAGE(OFFSET($H$3,0,0,'Données projet'!$E$15+1,1))</f>
        <v>256.19915261735281</v>
      </c>
      <c r="EP64" s="62">
        <f t="shared" si="46"/>
        <v>297.47246687305056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13.777777777777779</v>
      </c>
      <c r="N65" s="14">
        <f>IF('Données projet'!$A$36&gt;35,N64+M65-V64,IF(A65&lt;'Données projet'!$A$36,$K$205^A65,IF(A65='Données projet'!$A$36,'Données projet'!$B$36,N64+M65-V64)))</f>
        <v>261.55555555555537</v>
      </c>
      <c r="O65" s="14">
        <f>N65*VLOOKUP('Données projet'!$B$9,Paramètres!$A$1:$I$89,3,0)*VLOOKUP('Données projet'!$B$9,Paramètres!$A$1:$I$89,5,0)</f>
        <v>224.41466666666653</v>
      </c>
      <c r="P65" s="14">
        <f t="shared" si="33"/>
        <v>55.073279400945509</v>
      </c>
      <c r="Q65" s="22">
        <f t="shared" si="53"/>
        <v>486.77483940109096</v>
      </c>
      <c r="R65" s="62">
        <f t="shared" si="0"/>
        <v>780.10817273442422</v>
      </c>
      <c r="S65" s="62">
        <f ca="1">AVERAGE(OFFSET($R$3,0,0,'Données projet'!$E$9+1,1))-AVERAGE(OFFSET($H$3,0,0,'Données projet'!$E$9+1,1))</f>
        <v>446.27304516866047</v>
      </c>
      <c r="T65" s="62">
        <f t="shared" si="34"/>
        <v>230.82970731138215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6.2</v>
      </c>
      <c r="AI65" s="14">
        <f>IF('Données projet'!$A$62&gt;35,AI64+AH65-AQ64,IF(A65&lt;'Données projet'!$A$62,$AF$205^A65,IF(A65='Données projet'!$A$62,'Données projet'!$B$62,AI64+AH65-AQ64)))</f>
        <v>337.39999999999975</v>
      </c>
      <c r="AJ65" s="14">
        <f>AI65*VLOOKUP('Données projet'!$B$10,Paramètres!$A$1:$I$89,3,0)*VLOOKUP('Données projet'!$B$10,Paramètres!$A$1:$I$89,5,0)</f>
        <v>268.4354399999998</v>
      </c>
      <c r="AK65" s="14">
        <f t="shared" si="35"/>
        <v>64.517117946718415</v>
      </c>
      <c r="AL65" s="22">
        <f t="shared" si="4"/>
        <v>579.89237175720086</v>
      </c>
      <c r="AM65" s="62">
        <f t="shared" si="5"/>
        <v>873.22570509053412</v>
      </c>
      <c r="AN65" s="62">
        <f ca="1">AVERAGE(OFFSET($AM$3,0,0,'Données projet'!$E$10+1,1))-AVERAGE(OFFSET($H$3,0,0,'Données projet'!$E$10+1,1))</f>
        <v>427.78067187784063</v>
      </c>
      <c r="AO65" s="62">
        <f t="shared" si="36"/>
        <v>464.22892523825118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8.6666666666666661</v>
      </c>
      <c r="BD65" s="13">
        <f>IF('Données projet'!$A$88&gt;35,BD64+BC65-BL64,IF(A65&lt;'Données projet'!$A$88,$BA$205^A65,IF(A65='Données projet'!$A$88,'Données projet'!$B$88,BD64+BC65-BL64)))</f>
        <v>314.33333333333337</v>
      </c>
      <c r="BE65" s="14">
        <f>BD65*VLOOKUP('Données projet'!$B$11,Paramètres!$A$1:$I$89,3,0)*VLOOKUP('Données projet'!$B$11,Paramètres!$A$1:$I$89,5,0)</f>
        <v>245.18000000000004</v>
      </c>
      <c r="BF65" s="14">
        <f t="shared" si="37"/>
        <v>59.552643851821486</v>
      </c>
      <c r="BG65" s="22">
        <f t="shared" si="7"/>
        <v>530.74268804192241</v>
      </c>
      <c r="BH65" s="62">
        <f t="shared" si="8"/>
        <v>824.07602137525578</v>
      </c>
      <c r="BI65" s="62">
        <f ca="1">AVERAGE(OFFSET($BH$3,0,0,'Données projet'!$E$11+1,1))-AVERAGE(OFFSET($H$3,0,0,'Données projet'!$E$11+1,1))</f>
        <v>312.09994042858187</v>
      </c>
      <c r="BJ65" s="62">
        <f t="shared" si="38"/>
        <v>283.48738729114024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5.2</v>
      </c>
      <c r="BY65" s="13">
        <f>IF('Données projet'!$A$114&gt;35,BY64+BX65-CG64,IF(A65&lt;'Données projet'!$A$114,$BV$205^A65,IF(A65='Données projet'!$A$114,'Données projet'!$B$114,BY64+BX65-CG64)))</f>
        <v>290.39999999999992</v>
      </c>
      <c r="BZ65" s="14">
        <f>BY65*VLOOKUP('Données projet'!$B$12,Paramètres!$A$1:$I$89,3,0)*VLOOKUP('Données projet'!$B$12,Paramètres!$A$1:$I$89,5,0)</f>
        <v>231.04223999999994</v>
      </c>
      <c r="CA65" s="14">
        <f t="shared" si="39"/>
        <v>56.507978852931409</v>
      </c>
      <c r="CB65" s="22">
        <f t="shared" si="10"/>
        <v>500.81663116885539</v>
      </c>
      <c r="CC65" s="62">
        <f t="shared" si="11"/>
        <v>794.14996450218871</v>
      </c>
      <c r="CD65" s="62">
        <f ca="1">AVERAGE(OFFSET($CC$3,0,0,'Données projet'!$E$12+1,1))-AVERAGE(OFFSET($H$3,0,0,'Données projet'!$E$12+1,1))</f>
        <v>370.79299728190904</v>
      </c>
      <c r="CE65" s="62">
        <f t="shared" si="40"/>
        <v>404.95703400805775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4.4871794871794863</v>
      </c>
      <c r="CT65" s="13">
        <f>IF('Données projet'!$A$140&gt;35,CT64+CS65-DB64,IF(A65&lt;'Données projet'!$A$140,$CQ$205^A65,IF(A65='Données projet'!$A$140,'Données projet'!$B$140,CT64+CS65-DB64)))</f>
        <v>173.07692307692301</v>
      </c>
      <c r="CU65" s="18">
        <f>CT65*VLOOKUP('Données projet'!$B$13,Paramètres!$A$1:$I$89,3,0)*VLOOKUP('Données projet'!$B$13,Paramètres!$A$1:$I$89,5,0)</f>
        <v>164.69999999999993</v>
      </c>
      <c r="CV65" s="14">
        <f t="shared" si="41"/>
        <v>41.900820665095992</v>
      </c>
      <c r="CW65" s="22">
        <f t="shared" si="13"/>
        <v>359.82976265837533</v>
      </c>
      <c r="CX65" s="62">
        <f t="shared" si="14"/>
        <v>653.16309599170859</v>
      </c>
      <c r="CY65" s="62">
        <f ca="1">AVERAGE(OFFSET($CX$3,0,0,'Données projet'!$E$13+1,1))-AVERAGE(OFFSET($H$3,0,0,'Données projet'!$E$13+1,1))</f>
        <v>351.34897243264044</v>
      </c>
      <c r="CZ65" s="62">
        <f t="shared" si="42"/>
        <v>268.39685058071603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4.7435897435897401</v>
      </c>
      <c r="DO65" s="13">
        <f>IF('Données projet'!$A$166&gt;35,DO64+DN65-DW64,IF(A65&lt;'Données projet'!$A$166,$DL$205^A65,IF(A65='Données projet'!$A$166,'Données projet'!$B$166,DO64+DN65-DW64)))</f>
        <v>208.20512820512806</v>
      </c>
      <c r="DP65" s="18">
        <f>DO65*VLOOKUP('Données projet'!$B$14,Paramètres!$A$1:$I$89,3,0)*VLOOKUP('Données projet'!$B$14,Paramètres!$A$1:$I$89,5,0)</f>
        <v>139.6639999999999</v>
      </c>
      <c r="DQ65" s="14">
        <f t="shared" si="43"/>
        <v>36.220021852088244</v>
      </c>
      <c r="DR65" s="22">
        <f t="shared" si="16"/>
        <v>306.33133805905351</v>
      </c>
      <c r="DS65" s="62">
        <f t="shared" si="17"/>
        <v>599.66467139238682</v>
      </c>
      <c r="DT65" s="62">
        <f ca="1">AVERAGE(OFFSET($DS$3,0,0,'Données projet'!$E$14+1,1))-AVERAGE(OFFSET($H$3,0,0,'Données projet'!$E$14+1,1))</f>
        <v>290.46086333591074</v>
      </c>
      <c r="DU65" s="62">
        <f t="shared" si="44"/>
        <v>236.8495901994267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-1.1368683772161603E-13</v>
      </c>
      <c r="EK65" s="18">
        <f>EJ65*VLOOKUP('Données projet'!$B$15,Paramètres!$A$1:$I$89,3,0)*VLOOKUP('Données projet'!$B$15,Paramètres!$A$1:$I$89,5,0)</f>
        <v>-9.2222762759774927E-14</v>
      </c>
      <c r="EL65" s="14" t="e">
        <f t="shared" si="45"/>
        <v>#NUM!</v>
      </c>
      <c r="EM65" s="22" t="e">
        <f t="shared" si="19"/>
        <v>#NUM!</v>
      </c>
      <c r="EN65" s="62" t="e">
        <f t="shared" si="20"/>
        <v>#NUM!</v>
      </c>
      <c r="EO65" s="62">
        <f ca="1">AVERAGE(OFFSET($EN$3,0,0,'Données projet'!$E$15+1,1))-AVERAGE(OFFSET($H$3,0,0,'Données projet'!$E$15+1,1))</f>
        <v>256.19915261735281</v>
      </c>
      <c r="EP65" s="62">
        <f t="shared" si="46"/>
        <v>297.47246687305056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13.777777777777779</v>
      </c>
      <c r="N66" s="14">
        <f>IF('Données projet'!$A$36&gt;35,N65+M66-V65,IF(A66&lt;'Données projet'!$A$36,$K$205^A66,IF(A66='Données projet'!$A$36,'Données projet'!$B$36,N65+M66-V65)))</f>
        <v>275.33333333333314</v>
      </c>
      <c r="O66" s="14">
        <f>N66*VLOOKUP('Données projet'!$B$9,Paramètres!$A$1:$I$89,3,0)*VLOOKUP('Données projet'!$B$9,Paramètres!$A$1:$I$89,5,0)</f>
        <v>236.23599999999988</v>
      </c>
      <c r="P66" s="14">
        <f t="shared" si="33"/>
        <v>57.628943995616872</v>
      </c>
      <c r="Q66" s="22">
        <f t="shared" si="53"/>
        <v>511.81477745903248</v>
      </c>
      <c r="R66" s="62">
        <f t="shared" si="0"/>
        <v>805.14811079236574</v>
      </c>
      <c r="S66" s="62">
        <f ca="1">AVERAGE(OFFSET($R$3,0,0,'Données projet'!$E$9+1,1))-AVERAGE(OFFSET($H$3,0,0,'Données projet'!$E$9+1,1))</f>
        <v>446.27304516866047</v>
      </c>
      <c r="T66" s="62">
        <f t="shared" si="34"/>
        <v>230.82970731138215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6.2</v>
      </c>
      <c r="AI66" s="14">
        <f>IF('Données projet'!$A$62&gt;35,AI65+AH66-AQ65,IF(A66&lt;'Données projet'!$A$62,$AF$205^A66,IF(A66='Données projet'!$A$62,'Données projet'!$B$62,AI65+AH66-AQ65)))</f>
        <v>343.59999999999974</v>
      </c>
      <c r="AJ66" s="14">
        <f>AI66*VLOOKUP('Données projet'!$B$10,Paramètres!$A$1:$I$89,3,0)*VLOOKUP('Données projet'!$B$10,Paramètres!$A$1:$I$89,5,0)</f>
        <v>273.36815999999982</v>
      </c>
      <c r="AK66" s="14">
        <f t="shared" si="35"/>
        <v>65.563561270581033</v>
      </c>
      <c r="AL66" s="22">
        <f t="shared" si="4"/>
        <v>590.30608121292823</v>
      </c>
      <c r="AM66" s="62">
        <f t="shared" si="5"/>
        <v>883.63941454626161</v>
      </c>
      <c r="AN66" s="62">
        <f ca="1">AVERAGE(OFFSET($AM$3,0,0,'Données projet'!$E$10+1,1))-AVERAGE(OFFSET($H$3,0,0,'Données projet'!$E$10+1,1))</f>
        <v>427.78067187784063</v>
      </c>
      <c r="AO66" s="62">
        <f t="shared" si="36"/>
        <v>464.22892523825118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8.6666666666666661</v>
      </c>
      <c r="BD66" s="13">
        <f>IF('Données projet'!$A$88&gt;35,BD65+BC66-BL65,IF(A66&lt;'Données projet'!$A$88,$BA$205^A66,IF(A66='Données projet'!$A$88,'Données projet'!$B$88,BD65+BC66-BL65)))</f>
        <v>323.00000000000006</v>
      </c>
      <c r="BE66" s="14">
        <f>BD66*VLOOKUP('Données projet'!$B$11,Paramètres!$A$1:$I$89,3,0)*VLOOKUP('Données projet'!$B$11,Paramètres!$A$1:$I$89,5,0)</f>
        <v>251.94000000000005</v>
      </c>
      <c r="BF66" s="14">
        <f t="shared" si="37"/>
        <v>61.001175575882066</v>
      </c>
      <c r="BG66" s="22">
        <f t="shared" si="7"/>
        <v>545.03921412799468</v>
      </c>
      <c r="BH66" s="62">
        <f t="shared" si="8"/>
        <v>838.37254746132794</v>
      </c>
      <c r="BI66" s="62">
        <f ca="1">AVERAGE(OFFSET($BH$3,0,0,'Données projet'!$E$11+1,1))-AVERAGE(OFFSET($H$3,0,0,'Données projet'!$E$11+1,1))</f>
        <v>312.09994042858187</v>
      </c>
      <c r="BJ66" s="62">
        <f t="shared" si="38"/>
        <v>283.48738729114024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5.2</v>
      </c>
      <c r="BY66" s="13">
        <f>IF('Données projet'!$A$114&gt;35,BY65+BX66-CG65,IF(A66&lt;'Données projet'!$A$114,$BV$205^A66,IF(A66='Données projet'!$A$114,'Données projet'!$B$114,BY65+BX66-CG65)))</f>
        <v>295.59999999999991</v>
      </c>
      <c r="BZ66" s="14">
        <f>BY66*VLOOKUP('Données projet'!$B$12,Paramètres!$A$1:$I$89,3,0)*VLOOKUP('Données projet'!$B$12,Paramètres!$A$1:$I$89,5,0)</f>
        <v>235.17935999999992</v>
      </c>
      <c r="CA66" s="14">
        <f t="shared" si="39"/>
        <v>57.401124668909425</v>
      </c>
      <c r="CB66" s="22">
        <f t="shared" si="10"/>
        <v>509.57767746501708</v>
      </c>
      <c r="CC66" s="62">
        <f t="shared" si="11"/>
        <v>802.91101079835039</v>
      </c>
      <c r="CD66" s="62">
        <f ca="1">AVERAGE(OFFSET($CC$3,0,0,'Données projet'!$E$12+1,1))-AVERAGE(OFFSET($H$3,0,0,'Données projet'!$E$12+1,1))</f>
        <v>370.79299728190904</v>
      </c>
      <c r="CE66" s="62">
        <f t="shared" si="40"/>
        <v>404.95703400805775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4.4871794871794863</v>
      </c>
      <c r="CT66" s="13">
        <f>IF('Données projet'!$A$140&gt;35,CT65+CS66-DB65,IF(A66&lt;'Données projet'!$A$140,$CQ$205^A66,IF(A66='Données projet'!$A$140,'Données projet'!$B$140,CT65+CS66-DB65)))</f>
        <v>177.56410256410248</v>
      </c>
      <c r="CU66" s="18">
        <f>CT66*VLOOKUP('Données projet'!$B$13,Paramètres!$A$1:$I$89,3,0)*VLOOKUP('Données projet'!$B$13,Paramètres!$A$1:$I$89,5,0)</f>
        <v>168.96999999999991</v>
      </c>
      <c r="CV66" s="14">
        <f t="shared" si="41"/>
        <v>42.859256319711704</v>
      </c>
      <c r="CW66" s="22">
        <f t="shared" si="13"/>
        <v>368.93595475683105</v>
      </c>
      <c r="CX66" s="62">
        <f t="shared" si="14"/>
        <v>662.26928809016431</v>
      </c>
      <c r="CY66" s="62">
        <f ca="1">AVERAGE(OFFSET($CX$3,0,0,'Données projet'!$E$13+1,1))-AVERAGE(OFFSET($H$3,0,0,'Données projet'!$E$13+1,1))</f>
        <v>351.34897243264044</v>
      </c>
      <c r="CZ66" s="62">
        <f t="shared" si="42"/>
        <v>268.39685058071603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4.7435897435897401</v>
      </c>
      <c r="DO66" s="13">
        <f>IF('Données projet'!$A$166&gt;35,DO65+DN66-DW65,IF(A66&lt;'Données projet'!$A$166,$DL$205^A66,IF(A66='Données projet'!$A$166,'Données projet'!$B$166,DO65+DN66-DW65)))</f>
        <v>212.94871794871781</v>
      </c>
      <c r="DP66" s="18">
        <f>DO66*VLOOKUP('Données projet'!$B$14,Paramètres!$A$1:$I$89,3,0)*VLOOKUP('Données projet'!$B$14,Paramètres!$A$1:$I$89,5,0)</f>
        <v>142.84599999999989</v>
      </c>
      <c r="DQ66" s="14">
        <f t="shared" si="43"/>
        <v>36.948218532730117</v>
      </c>
      <c r="DR66" s="22">
        <f t="shared" si="16"/>
        <v>313.14159727783806</v>
      </c>
      <c r="DS66" s="62">
        <f t="shared" si="17"/>
        <v>606.47493061117143</v>
      </c>
      <c r="DT66" s="62">
        <f ca="1">AVERAGE(OFFSET($DS$3,0,0,'Données projet'!$E$14+1,1))-AVERAGE(OFFSET($H$3,0,0,'Données projet'!$E$14+1,1))</f>
        <v>290.46086333591074</v>
      </c>
      <c r="DU66" s="62">
        <f t="shared" si="44"/>
        <v>236.8495901994267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-1.1368683772161603E-13</v>
      </c>
      <c r="EK66" s="18">
        <f>EJ66*VLOOKUP('Données projet'!$B$15,Paramètres!$A$1:$I$89,3,0)*VLOOKUP('Données projet'!$B$15,Paramètres!$A$1:$I$89,5,0)</f>
        <v>-9.2222762759774927E-14</v>
      </c>
      <c r="EL66" s="14" t="e">
        <f t="shared" si="45"/>
        <v>#NUM!</v>
      </c>
      <c r="EM66" s="22" t="e">
        <f t="shared" si="19"/>
        <v>#NUM!</v>
      </c>
      <c r="EN66" s="62" t="e">
        <f t="shared" si="20"/>
        <v>#NUM!</v>
      </c>
      <c r="EO66" s="62">
        <f ca="1">AVERAGE(OFFSET($EN$3,0,0,'Données projet'!$E$15+1,1))-AVERAGE(OFFSET($H$3,0,0,'Données projet'!$E$15+1,1))</f>
        <v>256.19915261735281</v>
      </c>
      <c r="EP66" s="62">
        <f t="shared" si="46"/>
        <v>297.47246687305056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13.777777777777779</v>
      </c>
      <c r="N67" s="14">
        <f>IF('Données projet'!$A$36&gt;35,N66+M67-V66,IF(A67&lt;'Données projet'!$A$36,$K$205^A67,IF(A67='Données projet'!$A$36,'Données projet'!$B$36,N66+M67-V66)))</f>
        <v>289.11111111111092</v>
      </c>
      <c r="O67" s="14">
        <f>N67*VLOOKUP('Données projet'!$B$9,Paramètres!$A$1:$I$89,3,0)*VLOOKUP('Données projet'!$B$9,Paramètres!$A$1:$I$89,5,0)</f>
        <v>248.05733333333319</v>
      </c>
      <c r="P67" s="14">
        <f t="shared" si="33"/>
        <v>60.169759343876592</v>
      </c>
      <c r="Q67" s="22">
        <f t="shared" ref="Q67:Q98" si="54">(O67+P67)*0.475*44/12</f>
        <v>536.82885307947356</v>
      </c>
      <c r="R67" s="62">
        <f t="shared" ref="R67:R130" si="55">Q67+(I67+J67)*44/12</f>
        <v>830.16218641280693</v>
      </c>
      <c r="S67" s="62">
        <f ca="1">AVERAGE(OFFSET($R$3,0,0,'Données projet'!$E$9+1,1))-AVERAGE(OFFSET($H$3,0,0,'Données projet'!$E$9+1,1))</f>
        <v>446.27304516866047</v>
      </c>
      <c r="T67" s="62">
        <f t="shared" si="34"/>
        <v>230.82970731138215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6.2</v>
      </c>
      <c r="AI67" s="14">
        <f>IF('Données projet'!$A$62&gt;35,AI66+AH67-AQ66,IF(A67&lt;'Données projet'!$A$62,$AF$205^A67,IF(A67='Données projet'!$A$62,'Données projet'!$B$62,AI66+AH67-AQ66)))</f>
        <v>349.79999999999973</v>
      </c>
      <c r="AJ67" s="14">
        <f>AI67*VLOOKUP('Données projet'!$B$10,Paramètres!$A$1:$I$89,3,0)*VLOOKUP('Données projet'!$B$10,Paramètres!$A$1:$I$89,5,0)</f>
        <v>278.30087999999978</v>
      </c>
      <c r="AK67" s="14">
        <f t="shared" si="35"/>
        <v>66.607808878595833</v>
      </c>
      <c r="AL67" s="22">
        <f t="shared" si="4"/>
        <v>600.71596646355397</v>
      </c>
      <c r="AM67" s="62">
        <f t="shared" si="5"/>
        <v>894.04929979688723</v>
      </c>
      <c r="AN67" s="62">
        <f ca="1">AVERAGE(OFFSET($AM$3,0,0,'Données projet'!$E$10+1,1))-AVERAGE(OFFSET($H$3,0,0,'Données projet'!$E$10+1,1))</f>
        <v>427.78067187784063</v>
      </c>
      <c r="AO67" s="62">
        <f t="shared" si="36"/>
        <v>464.22892523825118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8.6666666666666661</v>
      </c>
      <c r="BD67" s="13">
        <f>IF('Données projet'!$A$88&gt;35,BD66+BC67-BL66,IF(A67&lt;'Données projet'!$A$88,$BA$205^A67,IF(A67='Données projet'!$A$88,'Données projet'!$B$88,BD66+BC67-BL66)))</f>
        <v>331.66666666666674</v>
      </c>
      <c r="BE67" s="14">
        <f>BD67*VLOOKUP('Données projet'!$B$11,Paramètres!$A$1:$I$89,3,0)*VLOOKUP('Données projet'!$B$11,Paramètres!$A$1:$I$89,5,0)</f>
        <v>258.70000000000005</v>
      </c>
      <c r="BF67" s="14">
        <f t="shared" si="37"/>
        <v>62.445189701640679</v>
      </c>
      <c r="BG67" s="22">
        <f t="shared" si="7"/>
        <v>559.32787206369096</v>
      </c>
      <c r="BH67" s="62">
        <f t="shared" si="8"/>
        <v>852.66120539702433</v>
      </c>
      <c r="BI67" s="62">
        <f ca="1">AVERAGE(OFFSET($BH$3,0,0,'Données projet'!$E$11+1,1))-AVERAGE(OFFSET($H$3,0,0,'Données projet'!$E$11+1,1))</f>
        <v>312.09994042858187</v>
      </c>
      <c r="BJ67" s="62">
        <f t="shared" si="38"/>
        <v>283.48738729114024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5.2</v>
      </c>
      <c r="BY67" s="13">
        <f>IF('Données projet'!$A$114&gt;35,BY66+BX67-CG66,IF(A67&lt;'Données projet'!$A$114,$BV$205^A67,IF(A67='Données projet'!$A$114,'Données projet'!$B$114,BY66+BX67-CG66)))</f>
        <v>300.7999999999999</v>
      </c>
      <c r="BZ67" s="14">
        <f>BY67*VLOOKUP('Données projet'!$B$12,Paramètres!$A$1:$I$89,3,0)*VLOOKUP('Données projet'!$B$12,Paramètres!$A$1:$I$89,5,0)</f>
        <v>239.31647999999996</v>
      </c>
      <c r="CA67" s="14">
        <f t="shared" si="39"/>
        <v>58.292443422481945</v>
      </c>
      <c r="CB67" s="22">
        <f t="shared" si="10"/>
        <v>518.33554162748931</v>
      </c>
      <c r="CC67" s="62">
        <f t="shared" si="11"/>
        <v>811.66887496082268</v>
      </c>
      <c r="CD67" s="62">
        <f ca="1">AVERAGE(OFFSET($CC$3,0,0,'Données projet'!$E$12+1,1))-AVERAGE(OFFSET($H$3,0,0,'Données projet'!$E$12+1,1))</f>
        <v>370.79299728190904</v>
      </c>
      <c r="CE67" s="62">
        <f t="shared" si="40"/>
        <v>404.95703400805775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4.4871794871794863</v>
      </c>
      <c r="CT67" s="13">
        <f>IF('Données projet'!$A$140&gt;35,CT66+CS67-DB66,IF(A67&lt;'Données projet'!$A$140,$CQ$205^A67,IF(A67='Données projet'!$A$140,'Données projet'!$B$140,CT66+CS67-DB66)))</f>
        <v>182.05128205128196</v>
      </c>
      <c r="CU67" s="18">
        <f>CT67*VLOOKUP('Données projet'!$B$13,Paramètres!$A$1:$I$89,3,0)*VLOOKUP('Données projet'!$B$13,Paramètres!$A$1:$I$89,5,0)</f>
        <v>173.2399999999999</v>
      </c>
      <c r="CV67" s="14">
        <f t="shared" si="41"/>
        <v>43.814876545973412</v>
      </c>
      <c r="CW67" s="22">
        <f t="shared" si="13"/>
        <v>378.03724331757013</v>
      </c>
      <c r="CX67" s="62">
        <f t="shared" si="14"/>
        <v>671.37057665090344</v>
      </c>
      <c r="CY67" s="62">
        <f ca="1">AVERAGE(OFFSET($CX$3,0,0,'Données projet'!$E$13+1,1))-AVERAGE(OFFSET($H$3,0,0,'Données projet'!$E$13+1,1))</f>
        <v>351.34897243264044</v>
      </c>
      <c r="CZ67" s="62">
        <f t="shared" si="42"/>
        <v>268.39685058071603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4.7435897435897401</v>
      </c>
      <c r="DO67" s="13">
        <f>IF('Données projet'!$A$166&gt;35,DO66+DN67-DW66,IF(A67&lt;'Données projet'!$A$166,$DL$205^A67,IF(A67='Données projet'!$A$166,'Données projet'!$B$166,DO66+DN67-DW66)))</f>
        <v>217.69230769230757</v>
      </c>
      <c r="DP67" s="18">
        <f>DO67*VLOOKUP('Données projet'!$B$14,Paramètres!$A$1:$I$89,3,0)*VLOOKUP('Données projet'!$B$14,Paramètres!$A$1:$I$89,5,0)</f>
        <v>146.02799999999991</v>
      </c>
      <c r="DQ67" s="14">
        <f t="shared" si="43"/>
        <v>37.674529356136155</v>
      </c>
      <c r="DR67" s="22">
        <f t="shared" si="16"/>
        <v>319.94857196193698</v>
      </c>
      <c r="DS67" s="62">
        <f t="shared" si="17"/>
        <v>613.28190529527024</v>
      </c>
      <c r="DT67" s="62">
        <f ca="1">AVERAGE(OFFSET($DS$3,0,0,'Données projet'!$E$14+1,1))-AVERAGE(OFFSET($H$3,0,0,'Données projet'!$E$14+1,1))</f>
        <v>290.46086333591074</v>
      </c>
      <c r="DU67" s="62">
        <f t="shared" si="44"/>
        <v>236.8495901994267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-1.1368683772161603E-13</v>
      </c>
      <c r="EK67" s="18">
        <f>EJ67*VLOOKUP('Données projet'!$B$15,Paramètres!$A$1:$I$89,3,0)*VLOOKUP('Données projet'!$B$15,Paramètres!$A$1:$I$89,5,0)</f>
        <v>-9.2222762759774927E-14</v>
      </c>
      <c r="EL67" s="14" t="e">
        <f t="shared" si="45"/>
        <v>#NUM!</v>
      </c>
      <c r="EM67" s="22" t="e">
        <f t="shared" si="19"/>
        <v>#NUM!</v>
      </c>
      <c r="EN67" s="62" t="e">
        <f t="shared" si="20"/>
        <v>#NUM!</v>
      </c>
      <c r="EO67" s="62">
        <f ca="1">AVERAGE(OFFSET($EN$3,0,0,'Données projet'!$E$15+1,1))-AVERAGE(OFFSET($H$3,0,0,'Données projet'!$E$15+1,1))</f>
        <v>256.19915261735281</v>
      </c>
      <c r="EP67" s="62">
        <f t="shared" si="46"/>
        <v>297.47246687305056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13.777777777777779</v>
      </c>
      <c r="N68" s="14">
        <f>IF('Données projet'!$A$36&gt;35,N67+M68-V67,IF(A68&lt;'Données projet'!$A$36,$K$205^A68,IF(A68='Données projet'!$A$36,'Données projet'!$B$36,N67+M68-V67)))</f>
        <v>302.88888888888869</v>
      </c>
      <c r="O68" s="14">
        <f>N68*VLOOKUP('Données projet'!$B$9,Paramètres!$A$1:$I$89,3,0)*VLOOKUP('Données projet'!$B$9,Paramètres!$A$1:$I$89,5,0)</f>
        <v>259.8786666666665</v>
      </c>
      <c r="P68" s="14">
        <f t="shared" si="33"/>
        <v>62.69651389011603</v>
      </c>
      <c r="Q68" s="22">
        <f t="shared" si="54"/>
        <v>561.81843946972958</v>
      </c>
      <c r="R68" s="62">
        <f t="shared" si="55"/>
        <v>855.15177280306284</v>
      </c>
      <c r="S68" s="62">
        <f ca="1">AVERAGE(OFFSET($R$3,0,0,'Données projet'!$E$9+1,1))-AVERAGE(OFFSET($H$3,0,0,'Données projet'!$E$9+1,1))</f>
        <v>446.27304516866047</v>
      </c>
      <c r="T68" s="62">
        <f t="shared" si="34"/>
        <v>230.82970731138215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356</v>
      </c>
      <c r="AG68" s="13">
        <f>VLOOKUP(A68,'Données projet'!$A$61:$I$81,9,0)</f>
        <v>6.2</v>
      </c>
      <c r="AH68" s="13">
        <f t="array" ref="AH68">INDEX(AG:AG,MIN(IF(ISNUMBER(AG68:AG264),ROW(AG68:AG264),"")))</f>
        <v>6.2</v>
      </c>
      <c r="AI68" s="14">
        <f>IF('Données projet'!$A$62&gt;35,AI67+AH68-AQ67,IF(A68&lt;'Données projet'!$A$62,$AF$205^A68,IF(A68='Données projet'!$A$62,'Données projet'!$B$62,AI67+AH68-AQ67)))</f>
        <v>355.99999999999972</v>
      </c>
      <c r="AJ68" s="14">
        <f>AI68*VLOOKUP('Données projet'!$B$10,Paramètres!$A$1:$I$89,3,0)*VLOOKUP('Données projet'!$B$10,Paramètres!$A$1:$I$89,5,0)</f>
        <v>283.2335999999998</v>
      </c>
      <c r="AK68" s="14">
        <f t="shared" si="35"/>
        <v>67.649904178362377</v>
      </c>
      <c r="AL68" s="22">
        <f t="shared" ref="AL68:AL131" si="58">(AJ68+AK68)*0.475*44/12</f>
        <v>611.12210311064734</v>
      </c>
      <c r="AM68" s="62">
        <f t="shared" ref="AM68:AM131" si="59">AL68+(AD68+AE68)*44/12</f>
        <v>904.45543644398072</v>
      </c>
      <c r="AN68" s="62">
        <f ca="1">AVERAGE(OFFSET($AM$3,0,0,'Données projet'!$E$10+1,1))-AVERAGE(OFFSET($H$3,0,0,'Données projet'!$E$10+1,1))</f>
        <v>427.78067187784063</v>
      </c>
      <c r="AO68" s="62">
        <f t="shared" si="36"/>
        <v>464.22892523825118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8.6666666666666661</v>
      </c>
      <c r="BD68" s="13">
        <f>IF('Données projet'!$A$88&gt;35,BD67+BC68-BL67,IF(A68&lt;'Données projet'!$A$88,$BA$205^A68,IF(A68='Données projet'!$A$88,'Données projet'!$B$88,BD67+BC68-BL67)))</f>
        <v>340.33333333333343</v>
      </c>
      <c r="BE68" s="14">
        <f>BD68*VLOOKUP('Données projet'!$B$11,Paramètres!$A$1:$I$89,3,0)*VLOOKUP('Données projet'!$B$11,Paramètres!$A$1:$I$89,5,0)</f>
        <v>265.46000000000009</v>
      </c>
      <c r="BF68" s="14">
        <f t="shared" si="37"/>
        <v>63.884817847752018</v>
      </c>
      <c r="BG68" s="22">
        <f t="shared" ref="BG68:BG131" si="61">(BE68+BF68)*0.475*44/12</f>
        <v>573.60889108483491</v>
      </c>
      <c r="BH68" s="62">
        <f t="shared" ref="BH68:BH131" si="62">BG68+(AY68+AZ68)*44/12</f>
        <v>866.94222441816828</v>
      </c>
      <c r="BI68" s="62">
        <f ca="1">AVERAGE(OFFSET($BH$3,0,0,'Données projet'!$E$11+1,1))-AVERAGE(OFFSET($H$3,0,0,'Données projet'!$E$11+1,1))</f>
        <v>312.09994042858187</v>
      </c>
      <c r="BJ68" s="62">
        <f t="shared" si="38"/>
        <v>283.48738729114024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306</v>
      </c>
      <c r="BW68" s="13">
        <f>VLOOKUP(A68,'Données projet'!$A$113:$I$133,9,0)</f>
        <v>5.2</v>
      </c>
      <c r="BX68" s="13">
        <f t="array" ref="BX68">INDEX(BW:BW,MIN(IF(ISNUMBER(BW68:BW264),ROW(BW68:BW264),"")))</f>
        <v>5.2</v>
      </c>
      <c r="BY68" s="13">
        <f>IF('Données projet'!$A$114&gt;35,BY67+BX68-CG67,IF(A68&lt;'Données projet'!$A$114,$BV$205^A68,IF(A68='Données projet'!$A$114,'Données projet'!$B$114,BY67+BX68-CG67)))</f>
        <v>305.99999999999989</v>
      </c>
      <c r="BZ68" s="14">
        <f>BY68*VLOOKUP('Données projet'!$B$12,Paramètres!$A$1:$I$89,3,0)*VLOOKUP('Données projet'!$B$12,Paramètres!$A$1:$I$89,5,0)</f>
        <v>243.45359999999991</v>
      </c>
      <c r="CA68" s="14">
        <f t="shared" si="39"/>
        <v>59.181970343065267</v>
      </c>
      <c r="CB68" s="22">
        <f t="shared" ref="CB68:CB131" si="64">(BZ68+CA68)*0.475*44/12</f>
        <v>527.09028501417185</v>
      </c>
      <c r="CC68" s="62">
        <f t="shared" ref="CC68:CC131" si="65">CB68+(BT68+BU68)*44/12</f>
        <v>820.42361834750523</v>
      </c>
      <c r="CD68" s="62">
        <f ca="1">AVERAGE(OFFSET($CC$3,0,0,'Données projet'!$E$12+1,1))-AVERAGE(OFFSET($H$3,0,0,'Données projet'!$E$12+1,1))</f>
        <v>370.79299728190904</v>
      </c>
      <c r="CE68" s="62">
        <f t="shared" si="40"/>
        <v>404.95703400805775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186.53846153846152</v>
      </c>
      <c r="CR68" s="13">
        <f>VLOOKUP(A68,'Données projet'!$A$139:$I$159,9,0)</f>
        <v>4.4871794871794863</v>
      </c>
      <c r="CS68" s="13">
        <f t="array" ref="CS68">INDEX(CR:CR,MIN(IF(ISNUMBER(CR68:CR264),ROW(CR68:CR264),"")))</f>
        <v>4.4871794871794863</v>
      </c>
      <c r="CT68" s="13">
        <f>IF('Données projet'!$A$140&gt;35,CT67+CS68-DB67,IF(A68&lt;'Données projet'!$A$140,$CQ$205^A68,IF(A68='Données projet'!$A$140,'Données projet'!$B$140,CT67+CS68-DB67)))</f>
        <v>186.53846153846143</v>
      </c>
      <c r="CU68" s="18">
        <f>CT68*VLOOKUP('Données projet'!$B$13,Paramètres!$A$1:$I$89,3,0)*VLOOKUP('Données projet'!$B$13,Paramètres!$A$1:$I$89,5,0)</f>
        <v>177.50999999999991</v>
      </c>
      <c r="CV68" s="14">
        <f t="shared" si="41"/>
        <v>44.767758720564856</v>
      </c>
      <c r="CW68" s="22">
        <f t="shared" ref="CW68:CW131" si="67">(CU68+CV68)*0.475*44/12</f>
        <v>387.13376310498353</v>
      </c>
      <c r="CX68" s="62">
        <f t="shared" ref="CX68:CX131" si="68">CW68+(CO68+CP68)*44/12</f>
        <v>680.46709643831684</v>
      </c>
      <c r="CY68" s="62">
        <f ca="1">AVERAGE(OFFSET($CX$3,0,0,'Données projet'!$E$13+1,1))-AVERAGE(OFFSET($H$3,0,0,'Données projet'!$E$13+1,1))</f>
        <v>351.34897243264044</v>
      </c>
      <c r="CZ68" s="62">
        <f t="shared" si="42"/>
        <v>268.39685058071603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222.43589743589743</v>
      </c>
      <c r="DM68" s="13">
        <f>VLOOKUP(A68,'Données projet'!$A$165:$I$185,9,0)</f>
        <v>4.7435897435897401</v>
      </c>
      <c r="DN68" s="13">
        <f t="array" ref="DN68">INDEX(DM:DM,MIN(IF(ISNUMBER(DM68:DM264),ROW(DM68:DM264),"")))</f>
        <v>4.7435897435897401</v>
      </c>
      <c r="DO68" s="13">
        <f>IF('Données projet'!$A$166&gt;35,DO67+DN68-DW67,IF(A68&lt;'Données projet'!$A$166,$DL$205^A68,IF(A68='Données projet'!$A$166,'Données projet'!$B$166,DO67+DN68-DW67)))</f>
        <v>222.43589743589732</v>
      </c>
      <c r="DP68" s="18">
        <f>DO68*VLOOKUP('Données projet'!$B$14,Paramètres!$A$1:$I$89,3,0)*VLOOKUP('Données projet'!$B$14,Paramètres!$A$1:$I$89,5,0)</f>
        <v>149.20999999999992</v>
      </c>
      <c r="DQ68" s="14">
        <f t="shared" si="43"/>
        <v>38.399000148253691</v>
      </c>
      <c r="DR68" s="22">
        <f t="shared" ref="DR68:DR131" si="70">(DP68+DQ68)*0.475*44/12</f>
        <v>326.752341924875</v>
      </c>
      <c r="DS68" s="62">
        <f t="shared" ref="DS68:DS131" si="71">DR68+(DJ68+DK68)*44/12</f>
        <v>620.08567525820831</v>
      </c>
      <c r="DT68" s="62">
        <f ca="1">AVERAGE(OFFSET($DS$3,0,0,'Données projet'!$E$14+1,1))-AVERAGE(OFFSET($H$3,0,0,'Données projet'!$E$14+1,1))</f>
        <v>290.46086333591074</v>
      </c>
      <c r="DU68" s="62">
        <f t="shared" si="44"/>
        <v>236.8495901994267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-1.1368683772161603E-13</v>
      </c>
      <c r="EK68" s="18">
        <f>EJ68*VLOOKUP('Données projet'!$B$15,Paramètres!$A$1:$I$89,3,0)*VLOOKUP('Données projet'!$B$15,Paramètres!$A$1:$I$89,5,0)</f>
        <v>-9.2222762759774927E-14</v>
      </c>
      <c r="EL68" s="14" t="e">
        <f t="shared" si="45"/>
        <v>#NUM!</v>
      </c>
      <c r="EM68" s="22" t="e">
        <f t="shared" ref="EM68:EM131" si="73">(EK68+EL68)*0.475*44/12</f>
        <v>#NUM!</v>
      </c>
      <c r="EN68" s="62" t="e">
        <f t="shared" ref="EN68:EN131" si="74">EM68+(EE68+EF68)*44/12</f>
        <v>#NUM!</v>
      </c>
      <c r="EO68" s="62">
        <f ca="1">AVERAGE(OFFSET($EN$3,0,0,'Données projet'!$E$15+1,1))-AVERAGE(OFFSET($H$3,0,0,'Données projet'!$E$15+1,1))</f>
        <v>256.19915261735281</v>
      </c>
      <c r="EP68" s="62">
        <f t="shared" si="46"/>
        <v>297.47246687305056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13.777777777777779</v>
      </c>
      <c r="N69" s="14">
        <f>IF('Données projet'!$A$36&gt;35,N68+M69-V68,IF(A69&lt;'Données projet'!$A$36,$K$205^A69,IF(A69='Données projet'!$A$36,'Données projet'!$B$36,N68+M69-V68)))</f>
        <v>316.66666666666646</v>
      </c>
      <c r="O69" s="14">
        <f>N69*VLOOKUP('Données projet'!$B$9,Paramètres!$A$1:$I$89,3,0)*VLOOKUP('Données projet'!$B$9,Paramètres!$A$1:$I$89,5,0)</f>
        <v>271.69999999999987</v>
      </c>
      <c r="P69" s="14">
        <f t="shared" ref="P69:P132" si="87">EXP(-1.0587+0.8836*LN(O69)+0.284)</f>
        <v>65.209920294809322</v>
      </c>
      <c r="Q69" s="22">
        <f t="shared" si="54"/>
        <v>586.78477784679262</v>
      </c>
      <c r="R69" s="62">
        <f t="shared" si="55"/>
        <v>880.11811118012588</v>
      </c>
      <c r="S69" s="62">
        <f ca="1">AVERAGE(OFFSET($R$3,0,0,'Données projet'!$E$9+1,1))-AVERAGE(OFFSET($H$3,0,0,'Données projet'!$E$9+1,1))</f>
        <v>446.27304516866047</v>
      </c>
      <c r="T69" s="62">
        <f t="shared" ref="T69:T132" si="88">$T$3</f>
        <v>230.82970731138215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361.1999999999997</v>
      </c>
      <c r="AJ69" s="14">
        <f>AI69*VLOOKUP('Données projet'!$B$10,Paramètres!$A$1:$I$89,3,0)*VLOOKUP('Données projet'!$B$10,Paramètres!$A$1:$I$89,5,0)</f>
        <v>287.37071999999978</v>
      </c>
      <c r="AK69" s="14">
        <f t="shared" ref="AK69:AK132" si="89">EXP(-1.0587+0.8836*LN(AJ69)+0.284)</f>
        <v>68.522290556506064</v>
      </c>
      <c r="AL69" s="22">
        <f t="shared" si="58"/>
        <v>619.84699338591429</v>
      </c>
      <c r="AM69" s="62">
        <f t="shared" si="59"/>
        <v>913.18032671924766</v>
      </c>
      <c r="AN69" s="62">
        <f ca="1">AVERAGE(OFFSET($AM$3,0,0,'Données projet'!$E$10+1,1))-AVERAGE(OFFSET($H$3,0,0,'Données projet'!$E$10+1,1))</f>
        <v>427.78067187784063</v>
      </c>
      <c r="AO69" s="62">
        <f t="shared" ref="AO69:AO132" si="90">$AO$3</f>
        <v>464.22892523825118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8.6666666666666661</v>
      </c>
      <c r="BD69" s="13">
        <f>IF('Données projet'!$A$88&gt;35,BD68+BC69-BL68,IF(A69&lt;'Données projet'!$A$88,$BA$205^A69,IF(A69='Données projet'!$A$88,'Données projet'!$B$88,BD68+BC69-BL68)))</f>
        <v>349.00000000000011</v>
      </c>
      <c r="BE69" s="14">
        <f>BD69*VLOOKUP('Données projet'!$B$11,Paramètres!$A$1:$I$89,3,0)*VLOOKUP('Données projet'!$B$11,Paramètres!$A$1:$I$89,5,0)</f>
        <v>272.22000000000008</v>
      </c>
      <c r="BF69" s="14">
        <f t="shared" ref="BF69:BF132" si="91">EXP(-1.0587+0.8836*LN(BE69)+0.284)</f>
        <v>65.320184547527205</v>
      </c>
      <c r="BG69" s="22">
        <f t="shared" si="61"/>
        <v>587.88248808694334</v>
      </c>
      <c r="BH69" s="62">
        <f t="shared" si="62"/>
        <v>881.2158214202766</v>
      </c>
      <c r="BI69" s="62">
        <f ca="1">AVERAGE(OFFSET($BH$3,0,0,'Données projet'!$E$11+1,1))-AVERAGE(OFFSET($H$3,0,0,'Données projet'!$E$11+1,1))</f>
        <v>312.09994042858187</v>
      </c>
      <c r="BJ69" s="62">
        <f t="shared" ref="BJ69:BJ132" si="92">$BJ$3</f>
        <v>283.48738729114024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4.4000000000000004</v>
      </c>
      <c r="BY69" s="13">
        <f>IF('Données projet'!$A$114&gt;35,BY68+BX69-CG68,IF(A69&lt;'Données projet'!$A$114,$BV$205^A69,IF(A69='Données projet'!$A$114,'Données projet'!$B$114,BY68+BX69-CG68)))</f>
        <v>310.39999999999986</v>
      </c>
      <c r="BZ69" s="14">
        <f>BY69*VLOOKUP('Données projet'!$B$12,Paramètres!$A$1:$I$89,3,0)*VLOOKUP('Données projet'!$B$12,Paramètres!$A$1:$I$89,5,0)</f>
        <v>246.95423999999991</v>
      </c>
      <c r="CA69" s="14">
        <f t="shared" ref="CA69:CA132" si="93">EXP(-1.0587+0.8836*LN(BZ69)+0.284)</f>
        <v>59.933272631878893</v>
      </c>
      <c r="CB69" s="22">
        <f t="shared" si="64"/>
        <v>534.49575116718881</v>
      </c>
      <c r="CC69" s="62">
        <f t="shared" si="65"/>
        <v>827.82908450052219</v>
      </c>
      <c r="CD69" s="62">
        <f ca="1">AVERAGE(OFFSET($CC$3,0,0,'Données projet'!$E$12+1,1))-AVERAGE(OFFSET($H$3,0,0,'Données projet'!$E$12+1,1))</f>
        <v>370.79299728190904</v>
      </c>
      <c r="CE69" s="62">
        <f t="shared" ref="CE69:CE132" si="94">$CE$3</f>
        <v>404.95703400805775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4.3589743589743595</v>
      </c>
      <c r="CT69" s="13">
        <f>IF('Données projet'!$A$140&gt;35,CT68+CS69-DB68,IF(A69&lt;'Données projet'!$A$140,$CQ$205^A69,IF(A69='Données projet'!$A$140,'Données projet'!$B$140,CT68+CS69-DB68)))</f>
        <v>190.8974358974358</v>
      </c>
      <c r="CU69" s="18">
        <f>CT69*VLOOKUP('Données projet'!$B$13,Paramètres!$A$1:$I$89,3,0)*VLOOKUP('Données projet'!$B$13,Paramètres!$A$1:$I$89,5,0)</f>
        <v>181.6579999999999</v>
      </c>
      <c r="CV69" s="14">
        <f t="shared" ref="CV69:CV132" si="95">EXP(-1.0587+0.8836*LN(CU69)+0.284)</f>
        <v>45.690863545601175</v>
      </c>
      <c r="CW69" s="22">
        <f t="shared" si="67"/>
        <v>395.96593734192192</v>
      </c>
      <c r="CX69" s="62">
        <f t="shared" si="68"/>
        <v>689.29927067525523</v>
      </c>
      <c r="CY69" s="62">
        <f ca="1">AVERAGE(OFFSET($CX$3,0,0,'Données projet'!$E$13+1,1))-AVERAGE(OFFSET($H$3,0,0,'Données projet'!$E$13+1,1))</f>
        <v>351.34897243264044</v>
      </c>
      <c r="CZ69" s="62">
        <f t="shared" ref="CZ69:CZ132" si="96">$CZ$3</f>
        <v>268.39685058071603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4.6153846153846132</v>
      </c>
      <c r="DO69" s="13">
        <f>IF('Données projet'!$A$166&gt;35,DO68+DN69-DW68,IF(A69&lt;'Données projet'!$A$166,$DL$205^A69,IF(A69='Données projet'!$A$166,'Données projet'!$B$166,DO68+DN69-DW68)))</f>
        <v>227.05128205128193</v>
      </c>
      <c r="DP69" s="18">
        <f>DO69*VLOOKUP('Données projet'!$B$14,Paramètres!$A$1:$I$89,3,0)*VLOOKUP('Données projet'!$B$14,Paramètres!$A$1:$I$89,5,0)</f>
        <v>152.3059999999999</v>
      </c>
      <c r="DQ69" s="14">
        <f t="shared" ref="DQ69:DQ132" si="97">EXP(-1.0587+0.8836*LN(DP69)+0.284)</f>
        <v>39.102166177111755</v>
      </c>
      <c r="DR69" s="22">
        <f t="shared" si="70"/>
        <v>333.36922275846945</v>
      </c>
      <c r="DS69" s="62">
        <f t="shared" si="71"/>
        <v>626.70255609180276</v>
      </c>
      <c r="DT69" s="62">
        <f ca="1">AVERAGE(OFFSET($DS$3,0,0,'Données projet'!$E$14+1,1))-AVERAGE(OFFSET($H$3,0,0,'Données projet'!$E$14+1,1))</f>
        <v>290.46086333591074</v>
      </c>
      <c r="DU69" s="62">
        <f t="shared" ref="DU69:DU132" si="98">$DU$3</f>
        <v>236.8495901994267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-1.1368683772161603E-13</v>
      </c>
      <c r="EK69" s="18">
        <f>EJ69*VLOOKUP('Données projet'!$B$15,Paramètres!$A$1:$I$89,3,0)*VLOOKUP('Données projet'!$B$15,Paramètres!$A$1:$I$89,5,0)</f>
        <v>-9.2222762759774927E-14</v>
      </c>
      <c r="EL69" s="14" t="e">
        <f t="shared" ref="EL69:EL132" si="99">EXP(-1.0587+0.8836*LN(EK69)+0.284)</f>
        <v>#NUM!</v>
      </c>
      <c r="EM69" s="22" t="e">
        <f t="shared" si="73"/>
        <v>#NUM!</v>
      </c>
      <c r="EN69" s="62" t="e">
        <f t="shared" si="74"/>
        <v>#NUM!</v>
      </c>
      <c r="EO69" s="62">
        <f ca="1">AVERAGE(OFFSET($EN$3,0,0,'Données projet'!$E$15+1,1))-AVERAGE(OFFSET($H$3,0,0,'Données projet'!$E$15+1,1))</f>
        <v>256.19915261735281</v>
      </c>
      <c r="EP69" s="62">
        <f t="shared" ref="EP69:EP132" si="100">$EP$3</f>
        <v>297.47246687305056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13.777777777777779</v>
      </c>
      <c r="N70" s="14">
        <f>IF('Données projet'!$A$36&gt;35,N69+M70-V69,IF(A70&lt;'Données projet'!$A$36,$K$205^A70,IF(A70='Données projet'!$A$36,'Données projet'!$B$36,N69+M70-V69)))</f>
        <v>330.44444444444423</v>
      </c>
      <c r="O70" s="14">
        <f>N70*VLOOKUP('Données projet'!$B$9,Paramètres!$A$1:$I$89,3,0)*VLOOKUP('Données projet'!$B$9,Paramètres!$A$1:$I$89,5,0)</f>
        <v>283.52133333333319</v>
      </c>
      <c r="P70" s="14">
        <f t="shared" si="87"/>
        <v>67.71062569759917</v>
      </c>
      <c r="Q70" s="22">
        <f t="shared" si="54"/>
        <v>611.72899531220708</v>
      </c>
      <c r="R70" s="62">
        <f t="shared" si="55"/>
        <v>905.06232864554045</v>
      </c>
      <c r="S70" s="62">
        <f ca="1">AVERAGE(OFFSET($R$3,0,0,'Données projet'!$E$9+1,1))-AVERAGE(OFFSET($H$3,0,0,'Données projet'!$E$9+1,1))</f>
        <v>446.27304516866047</v>
      </c>
      <c r="T70" s="62">
        <f t="shared" si="88"/>
        <v>230.82970731138215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366.39999999999969</v>
      </c>
      <c r="AJ70" s="14">
        <f>AI70*VLOOKUP('Données projet'!$B$10,Paramètres!$A$1:$I$89,3,0)*VLOOKUP('Données projet'!$B$10,Paramètres!$A$1:$I$89,5,0)</f>
        <v>291.50783999999976</v>
      </c>
      <c r="AK70" s="14">
        <f t="shared" si="89"/>
        <v>69.393216206200947</v>
      </c>
      <c r="AL70" s="22">
        <f t="shared" si="58"/>
        <v>628.5693395591328</v>
      </c>
      <c r="AM70" s="62">
        <f t="shared" si="59"/>
        <v>921.90267289246617</v>
      </c>
      <c r="AN70" s="62">
        <f ca="1">AVERAGE(OFFSET($AM$3,0,0,'Données projet'!$E$10+1,1))-AVERAGE(OFFSET($H$3,0,0,'Données projet'!$E$10+1,1))</f>
        <v>427.78067187784063</v>
      </c>
      <c r="AO70" s="62">
        <f t="shared" si="90"/>
        <v>464.22892523825118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8.6666666666666661</v>
      </c>
      <c r="BD70" s="13">
        <f>IF('Données projet'!$A$88&gt;35,BD69+BC70-BL69,IF(A70&lt;'Données projet'!$A$88,$BA$205^A70,IF(A70='Données projet'!$A$88,'Données projet'!$B$88,BD69+BC70-BL69)))</f>
        <v>357.6666666666668</v>
      </c>
      <c r="BE70" s="14">
        <f>BD70*VLOOKUP('Données projet'!$B$11,Paramètres!$A$1:$I$89,3,0)*VLOOKUP('Données projet'!$B$11,Paramètres!$A$1:$I$89,5,0)</f>
        <v>278.98000000000013</v>
      </c>
      <c r="BF70" s="14">
        <f t="shared" si="91"/>
        <v>66.751407796697862</v>
      </c>
      <c r="BG70" s="22">
        <f t="shared" si="61"/>
        <v>602.14886857924898</v>
      </c>
      <c r="BH70" s="62">
        <f t="shared" si="62"/>
        <v>895.48220191258224</v>
      </c>
      <c r="BI70" s="62">
        <f ca="1">AVERAGE(OFFSET($BH$3,0,0,'Données projet'!$E$11+1,1))-AVERAGE(OFFSET($H$3,0,0,'Données projet'!$E$11+1,1))</f>
        <v>312.09994042858187</v>
      </c>
      <c r="BJ70" s="62">
        <f t="shared" si="92"/>
        <v>283.48738729114024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4.4000000000000004</v>
      </c>
      <c r="BY70" s="13">
        <f>IF('Données projet'!$A$114&gt;35,BY69+BX70-CG69,IF(A70&lt;'Données projet'!$A$114,$BV$205^A70,IF(A70='Données projet'!$A$114,'Données projet'!$B$114,BY69+BX70-CG69)))</f>
        <v>314.79999999999984</v>
      </c>
      <c r="BZ70" s="14">
        <f>BY70*VLOOKUP('Données projet'!$B$12,Paramètres!$A$1:$I$89,3,0)*VLOOKUP('Données projet'!$B$12,Paramètres!$A$1:$I$89,5,0)</f>
        <v>250.45487999999989</v>
      </c>
      <c r="CA70" s="14">
        <f t="shared" si="93"/>
        <v>60.683336250201052</v>
      </c>
      <c r="CB70" s="22">
        <f t="shared" si="64"/>
        <v>541.89905996909988</v>
      </c>
      <c r="CC70" s="62">
        <f t="shared" si="65"/>
        <v>835.23239330243314</v>
      </c>
      <c r="CD70" s="62">
        <f ca="1">AVERAGE(OFFSET($CC$3,0,0,'Données projet'!$E$12+1,1))-AVERAGE(OFFSET($H$3,0,0,'Données projet'!$E$12+1,1))</f>
        <v>370.79299728190904</v>
      </c>
      <c r="CE70" s="62">
        <f t="shared" si="94"/>
        <v>404.95703400805775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4.3589743589743595</v>
      </c>
      <c r="CT70" s="13">
        <f>IF('Données projet'!$A$140&gt;35,CT69+CS70-DB69,IF(A70&lt;'Données projet'!$A$140,$CQ$205^A70,IF(A70='Données projet'!$A$140,'Données projet'!$B$140,CT69+CS70-DB69)))</f>
        <v>195.25641025641016</v>
      </c>
      <c r="CU70" s="18">
        <f>CT70*VLOOKUP('Données projet'!$B$13,Paramètres!$A$1:$I$89,3,0)*VLOOKUP('Données projet'!$B$13,Paramètres!$A$1:$I$89,5,0)</f>
        <v>185.80599999999993</v>
      </c>
      <c r="CV70" s="14">
        <f t="shared" si="95"/>
        <v>46.611517891073774</v>
      </c>
      <c r="CW70" s="22">
        <f t="shared" si="67"/>
        <v>404.79384366028671</v>
      </c>
      <c r="CX70" s="62">
        <f t="shared" si="68"/>
        <v>698.12717699361997</v>
      </c>
      <c r="CY70" s="62">
        <f ca="1">AVERAGE(OFFSET($CX$3,0,0,'Données projet'!$E$13+1,1))-AVERAGE(OFFSET($H$3,0,0,'Données projet'!$E$13+1,1))</f>
        <v>351.34897243264044</v>
      </c>
      <c r="CZ70" s="62">
        <f t="shared" si="96"/>
        <v>268.39685058071603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4.6153846153846132</v>
      </c>
      <c r="DO70" s="13">
        <f>IF('Données projet'!$A$166&gt;35,DO69+DN70-DW69,IF(A70&lt;'Données projet'!$A$166,$DL$205^A70,IF(A70='Données projet'!$A$166,'Données projet'!$B$166,DO69+DN70-DW69)))</f>
        <v>231.66666666666654</v>
      </c>
      <c r="DP70" s="18">
        <f>DO70*VLOOKUP('Données projet'!$B$14,Paramètres!$A$1:$I$89,3,0)*VLOOKUP('Données projet'!$B$14,Paramètres!$A$1:$I$89,5,0)</f>
        <v>155.40199999999993</v>
      </c>
      <c r="DQ70" s="14">
        <f t="shared" si="97"/>
        <v>39.8036702759901</v>
      </c>
      <c r="DR70" s="22">
        <f t="shared" si="70"/>
        <v>339.98320906401597</v>
      </c>
      <c r="DS70" s="62">
        <f t="shared" si="71"/>
        <v>633.31654239734928</v>
      </c>
      <c r="DT70" s="62">
        <f ca="1">AVERAGE(OFFSET($DS$3,0,0,'Données projet'!$E$14+1,1))-AVERAGE(OFFSET($H$3,0,0,'Données projet'!$E$14+1,1))</f>
        <v>290.46086333591074</v>
      </c>
      <c r="DU70" s="62">
        <f t="shared" si="98"/>
        <v>236.8495901994267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-1.1368683772161603E-13</v>
      </c>
      <c r="EK70" s="18">
        <f>EJ70*VLOOKUP('Données projet'!$B$15,Paramètres!$A$1:$I$89,3,0)*VLOOKUP('Données projet'!$B$15,Paramètres!$A$1:$I$89,5,0)</f>
        <v>-9.2222762759774927E-14</v>
      </c>
      <c r="EL70" s="14" t="e">
        <f t="shared" si="99"/>
        <v>#NUM!</v>
      </c>
      <c r="EM70" s="22" t="e">
        <f t="shared" si="73"/>
        <v>#NUM!</v>
      </c>
      <c r="EN70" s="62" t="e">
        <f t="shared" si="74"/>
        <v>#NUM!</v>
      </c>
      <c r="EO70" s="62">
        <f ca="1">AVERAGE(OFFSET($EN$3,0,0,'Données projet'!$E$15+1,1))-AVERAGE(OFFSET($H$3,0,0,'Données projet'!$E$15+1,1))</f>
        <v>256.19915261735281</v>
      </c>
      <c r="EP70" s="62">
        <f t="shared" si="100"/>
        <v>297.47246687305056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13.777777777777779</v>
      </c>
      <c r="N71" s="14">
        <f>IF('Données projet'!$A$36&gt;35,N70+M71-V70,IF(A71&lt;'Données projet'!$A$36,$K$205^A71,IF(A71='Données projet'!$A$36,'Données projet'!$B$36,N70+M71-V70)))</f>
        <v>344.222222222222</v>
      </c>
      <c r="O71" s="14">
        <f>N71*VLOOKUP('Données projet'!$B$9,Paramètres!$A$1:$I$89,3,0)*VLOOKUP('Données projet'!$B$9,Paramètres!$A$1:$I$89,5,0)</f>
        <v>295.3426666666665</v>
      </c>
      <c r="P71" s="14">
        <f t="shared" si="87"/>
        <v>70.199220220485287</v>
      </c>
      <c r="Q71" s="22">
        <f t="shared" si="54"/>
        <v>636.65211966178947</v>
      </c>
      <c r="R71" s="62">
        <f t="shared" si="55"/>
        <v>929.98545299512284</v>
      </c>
      <c r="S71" s="62">
        <f ca="1">AVERAGE(OFFSET($R$3,0,0,'Données projet'!$E$9+1,1))-AVERAGE(OFFSET($H$3,0,0,'Données projet'!$E$9+1,1))</f>
        <v>446.27304516866047</v>
      </c>
      <c r="T71" s="62">
        <f t="shared" si="88"/>
        <v>230.82970731138215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371.59999999999968</v>
      </c>
      <c r="AJ71" s="14">
        <f>AI71*VLOOKUP('Données projet'!$B$10,Paramètres!$A$1:$I$89,3,0)*VLOOKUP('Données projet'!$B$10,Paramètres!$A$1:$I$89,5,0)</f>
        <v>295.6449599999998</v>
      </c>
      <c r="AK71" s="14">
        <f t="shared" si="89"/>
        <v>70.26270425383828</v>
      </c>
      <c r="AL71" s="22">
        <f t="shared" si="58"/>
        <v>637.289181908768</v>
      </c>
      <c r="AM71" s="62">
        <f t="shared" si="59"/>
        <v>930.62251524210137</v>
      </c>
      <c r="AN71" s="62">
        <f ca="1">AVERAGE(OFFSET($AM$3,0,0,'Données projet'!$E$10+1,1))-AVERAGE(OFFSET($H$3,0,0,'Données projet'!$E$10+1,1))</f>
        <v>427.78067187784063</v>
      </c>
      <c r="AO71" s="62">
        <f t="shared" si="90"/>
        <v>464.22892523825118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8.6666666666666661</v>
      </c>
      <c r="BD71" s="13">
        <f>IF('Données projet'!$A$88&gt;35,BD70+BC71-BL70,IF(A71&lt;'Données projet'!$A$88,$BA$205^A71,IF(A71='Données projet'!$A$88,'Données projet'!$B$88,BD70+BC71-BL70)))</f>
        <v>366.33333333333348</v>
      </c>
      <c r="BE71" s="14">
        <f>BD71*VLOOKUP('Données projet'!$B$11,Paramètres!$A$1:$I$89,3,0)*VLOOKUP('Données projet'!$B$11,Paramètres!$A$1:$I$89,5,0)</f>
        <v>285.74000000000012</v>
      </c>
      <c r="BF71" s="14">
        <f t="shared" si="91"/>
        <v>68.178599546592807</v>
      </c>
      <c r="BG71" s="22">
        <f t="shared" si="61"/>
        <v>616.40822754364933</v>
      </c>
      <c r="BH71" s="62">
        <f t="shared" si="62"/>
        <v>909.7415608769827</v>
      </c>
      <c r="BI71" s="62">
        <f ca="1">AVERAGE(OFFSET($BH$3,0,0,'Données projet'!$E$11+1,1))-AVERAGE(OFFSET($H$3,0,0,'Données projet'!$E$11+1,1))</f>
        <v>312.09994042858187</v>
      </c>
      <c r="BJ71" s="62">
        <f t="shared" si="92"/>
        <v>283.48738729114024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4.4000000000000004</v>
      </c>
      <c r="BY71" s="13">
        <f>IF('Données projet'!$A$114&gt;35,BY70+BX71-CG70,IF(A71&lt;'Données projet'!$A$114,$BV$205^A71,IF(A71='Données projet'!$A$114,'Données projet'!$B$114,BY70+BX71-CG70)))</f>
        <v>319.19999999999982</v>
      </c>
      <c r="BZ71" s="14">
        <f>BY71*VLOOKUP('Données projet'!$B$12,Paramètres!$A$1:$I$89,3,0)*VLOOKUP('Données projet'!$B$12,Paramètres!$A$1:$I$89,5,0)</f>
        <v>253.95551999999986</v>
      </c>
      <c r="CA71" s="14">
        <f t="shared" si="93"/>
        <v>61.432180511879253</v>
      </c>
      <c r="CB71" s="22">
        <f t="shared" si="64"/>
        <v>549.30024505818949</v>
      </c>
      <c r="CC71" s="62">
        <f t="shared" si="65"/>
        <v>842.63357839152286</v>
      </c>
      <c r="CD71" s="62">
        <f ca="1">AVERAGE(OFFSET($CC$3,0,0,'Données projet'!$E$12+1,1))-AVERAGE(OFFSET($H$3,0,0,'Données projet'!$E$12+1,1))</f>
        <v>370.79299728190904</v>
      </c>
      <c r="CE71" s="62">
        <f t="shared" si="94"/>
        <v>404.95703400805775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4.3589743589743595</v>
      </c>
      <c r="CT71" s="13">
        <f>IF('Données projet'!$A$140&gt;35,CT70+CS71-DB70,IF(A71&lt;'Données projet'!$A$140,$CQ$205^A71,IF(A71='Données projet'!$A$140,'Données projet'!$B$140,CT70+CS71-DB70)))</f>
        <v>199.61538461538453</v>
      </c>
      <c r="CU71" s="18">
        <f>CT71*VLOOKUP('Données projet'!$B$13,Paramètres!$A$1:$I$89,3,0)*VLOOKUP('Données projet'!$B$13,Paramètres!$A$1:$I$89,5,0)</f>
        <v>189.95399999999992</v>
      </c>
      <c r="CV71" s="14">
        <f t="shared" si="95"/>
        <v>47.52978276103304</v>
      </c>
      <c r="CW71" s="22">
        <f t="shared" si="67"/>
        <v>413.61758830879904</v>
      </c>
      <c r="CX71" s="62">
        <f t="shared" si="68"/>
        <v>706.95092164213236</v>
      </c>
      <c r="CY71" s="62">
        <f ca="1">AVERAGE(OFFSET($CX$3,0,0,'Données projet'!$E$13+1,1))-AVERAGE(OFFSET($H$3,0,0,'Données projet'!$E$13+1,1))</f>
        <v>351.34897243264044</v>
      </c>
      <c r="CZ71" s="62">
        <f t="shared" si="96"/>
        <v>268.39685058071603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4.6153846153846132</v>
      </c>
      <c r="DO71" s="13">
        <f>IF('Données projet'!$A$166&gt;35,DO70+DN71-DW70,IF(A71&lt;'Données projet'!$A$166,$DL$205^A71,IF(A71='Données projet'!$A$166,'Données projet'!$B$166,DO70+DN71-DW70)))</f>
        <v>236.28205128205116</v>
      </c>
      <c r="DP71" s="18">
        <f>DO71*VLOOKUP('Données projet'!$B$14,Paramètres!$A$1:$I$89,3,0)*VLOOKUP('Données projet'!$B$14,Paramètres!$A$1:$I$89,5,0)</f>
        <v>158.49799999999993</v>
      </c>
      <c r="DQ71" s="14">
        <f t="shared" si="97"/>
        <v>40.503549370816764</v>
      </c>
      <c r="DR71" s="22">
        <f t="shared" si="70"/>
        <v>346.59436515417241</v>
      </c>
      <c r="DS71" s="62">
        <f t="shared" si="71"/>
        <v>639.92769848750572</v>
      </c>
      <c r="DT71" s="62">
        <f ca="1">AVERAGE(OFFSET($DS$3,0,0,'Données projet'!$E$14+1,1))-AVERAGE(OFFSET($H$3,0,0,'Données projet'!$E$14+1,1))</f>
        <v>290.46086333591074</v>
      </c>
      <c r="DU71" s="62">
        <f t="shared" si="98"/>
        <v>236.8495901994267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-1.1368683772161603E-13</v>
      </c>
      <c r="EK71" s="18">
        <f>EJ71*VLOOKUP('Données projet'!$B$15,Paramètres!$A$1:$I$89,3,0)*VLOOKUP('Données projet'!$B$15,Paramètres!$A$1:$I$89,5,0)</f>
        <v>-9.2222762759774927E-14</v>
      </c>
      <c r="EL71" s="14" t="e">
        <f t="shared" si="99"/>
        <v>#NUM!</v>
      </c>
      <c r="EM71" s="22" t="e">
        <f t="shared" si="73"/>
        <v>#NUM!</v>
      </c>
      <c r="EN71" s="62" t="e">
        <f t="shared" si="74"/>
        <v>#NUM!</v>
      </c>
      <c r="EO71" s="62">
        <f ca="1">AVERAGE(OFFSET($EN$3,0,0,'Données projet'!$E$15+1,1))-AVERAGE(OFFSET($H$3,0,0,'Données projet'!$E$15+1,1))</f>
        <v>256.19915261735281</v>
      </c>
      <c r="EP71" s="62">
        <f t="shared" si="100"/>
        <v>297.47246687305056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>
        <f>VLOOKUP(A72,'Données projet'!$A$35:$I$55,2,0)</f>
        <v>358</v>
      </c>
      <c r="L72" s="13">
        <f>VLOOKUP(A72,'Données projet'!$A$35:$I$55,9,0)</f>
        <v>13.777777777777779</v>
      </c>
      <c r="M72" s="13">
        <f t="array" ref="M72">INDEX(L:L,MIN(IF(ISNUMBER(L72:L268),ROW(L72:L268),"")))</f>
        <v>13.777777777777779</v>
      </c>
      <c r="N72" s="14">
        <f>IF('Données projet'!$A$36&gt;35,N71+M72-V71,IF(A72&lt;'Données projet'!$A$36,$K$205^A72,IF(A72='Données projet'!$A$36,'Données projet'!$B$36,N71+M72-V71)))</f>
        <v>357.99999999999977</v>
      </c>
      <c r="O72" s="14">
        <f>N72*VLOOKUP('Données projet'!$B$9,Paramètres!$A$1:$I$89,3,0)*VLOOKUP('Données projet'!$B$9,Paramètres!$A$1:$I$89,5,0)</f>
        <v>307.16399999999982</v>
      </c>
      <c r="P72" s="14">
        <f t="shared" si="87"/>
        <v>72.676244071302918</v>
      </c>
      <c r="Q72" s="22">
        <f t="shared" si="54"/>
        <v>661.55509175751888</v>
      </c>
      <c r="R72" s="62">
        <f t="shared" si="55"/>
        <v>954.88842509085225</v>
      </c>
      <c r="S72" s="62">
        <f ca="1">AVERAGE(OFFSET($R$3,0,0,'Données projet'!$E$9+1,1))-AVERAGE(OFFSET($H$3,0,0,'Données projet'!$E$9+1,1))</f>
        <v>446.27304516866047</v>
      </c>
      <c r="T72" s="62">
        <f t="shared" si="88"/>
        <v>230.82970731138215</v>
      </c>
      <c r="U72" s="16">
        <f>IF(ISNA(VLOOKUP(A72,'Données projet'!$A$35:$I$55,3,0)),0,VLOOKUP(A72,'Données projet'!$A$35:$I$55,3,0))</f>
        <v>8</v>
      </c>
      <c r="V72" s="16">
        <f>IF(ISNA(VLOOKUP(A72,'Données projet'!$A$35:$I$55,4,0)),0,VLOOKUP(A72,'Données projet'!$A$35:$I$55,4,0))</f>
        <v>84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376.79999999999967</v>
      </c>
      <c r="AJ72" s="14">
        <f>AI72*VLOOKUP('Données projet'!$B$10,Paramètres!$A$1:$I$89,3,0)*VLOOKUP('Données projet'!$B$10,Paramètres!$A$1:$I$89,5,0)</f>
        <v>299.78207999999978</v>
      </c>
      <c r="AK72" s="14">
        <f t="shared" si="89"/>
        <v>71.130777141390737</v>
      </c>
      <c r="AL72" s="22">
        <f t="shared" si="58"/>
        <v>646.0065595212551</v>
      </c>
      <c r="AM72" s="62">
        <f t="shared" si="59"/>
        <v>939.33989285458847</v>
      </c>
      <c r="AN72" s="62">
        <f ca="1">AVERAGE(OFFSET($AM$3,0,0,'Données projet'!$E$10+1,1))-AVERAGE(OFFSET($H$3,0,0,'Données projet'!$E$10+1,1))</f>
        <v>427.78067187784063</v>
      </c>
      <c r="AO72" s="62">
        <f t="shared" si="90"/>
        <v>464.22892523825118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>
        <f>VLOOKUP(A72,'Données projet'!$A$87:$I$107,2,0)</f>
        <v>375</v>
      </c>
      <c r="BB72" s="13">
        <f>VLOOKUP(A72,'Données projet'!$A$87:$I$107,9,0)</f>
        <v>8.6666666666666661</v>
      </c>
      <c r="BC72" s="13">
        <f t="array" ref="BC72">INDEX(BB:BB,MIN(IF(ISNUMBER(BB72:BB268),ROW(BB72:BB268),"")))</f>
        <v>8.6666666666666661</v>
      </c>
      <c r="BD72" s="13">
        <f>IF('Données projet'!$A$88&gt;35,BD71+BC72-BL71,IF(A72&lt;'Données projet'!$A$88,$BA$205^A72,IF(A72='Données projet'!$A$88,'Données projet'!$B$88,BD71+BC72-BL71)))</f>
        <v>375.00000000000017</v>
      </c>
      <c r="BE72" s="14">
        <f>BD72*VLOOKUP('Données projet'!$B$11,Paramètres!$A$1:$I$89,3,0)*VLOOKUP('Données projet'!$B$11,Paramètres!$A$1:$I$89,5,0)</f>
        <v>292.50000000000017</v>
      </c>
      <c r="BF72" s="14">
        <f t="shared" si="91"/>
        <v>69.601866149330135</v>
      </c>
      <c r="BG72" s="22">
        <f t="shared" si="61"/>
        <v>630.66075021008362</v>
      </c>
      <c r="BH72" s="62">
        <f t="shared" si="62"/>
        <v>923.99408354341699</v>
      </c>
      <c r="BI72" s="62">
        <f ca="1">AVERAGE(OFFSET($BH$3,0,0,'Données projet'!$E$11+1,1))-AVERAGE(OFFSET($H$3,0,0,'Données projet'!$E$11+1,1))</f>
        <v>312.09994042858187</v>
      </c>
      <c r="BJ72" s="62">
        <f t="shared" si="92"/>
        <v>283.48738729114024</v>
      </c>
      <c r="BK72" s="16">
        <f>IF(ISNA(VLOOKUP(A72,'Données projet'!$A$87:$I$107,3,0)),0,VLOOKUP(A72,'Données projet'!$A$87:$I$107,3,0))</f>
        <v>5</v>
      </c>
      <c r="BL72" s="16">
        <f>IF(ISNA(VLOOKUP(A72,'Données projet'!$A$87:$I$107,4,0)),0,VLOOKUP(A72,'Données projet'!$A$87:$I$107,4,0))</f>
        <v>375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4.4000000000000004</v>
      </c>
      <c r="BY72" s="13">
        <f>IF('Données projet'!$A$114&gt;35,BY71+BX72-CG71,IF(A72&lt;'Données projet'!$A$114,$BV$205^A72,IF(A72='Données projet'!$A$114,'Données projet'!$B$114,BY71+BX72-CG71)))</f>
        <v>323.5999999999998</v>
      </c>
      <c r="BZ72" s="14">
        <f>BY72*VLOOKUP('Données projet'!$B$12,Paramètres!$A$1:$I$89,3,0)*VLOOKUP('Données projet'!$B$12,Paramètres!$A$1:$I$89,5,0)</f>
        <v>257.45615999999984</v>
      </c>
      <c r="CA72" s="14">
        <f t="shared" si="93"/>
        <v>62.179824167708126</v>
      </c>
      <c r="CB72" s="22">
        <f t="shared" si="64"/>
        <v>556.69933909209135</v>
      </c>
      <c r="CC72" s="62">
        <f t="shared" si="65"/>
        <v>850.03267242542461</v>
      </c>
      <c r="CD72" s="62">
        <f ca="1">AVERAGE(OFFSET($CC$3,0,0,'Données projet'!$E$12+1,1))-AVERAGE(OFFSET($H$3,0,0,'Données projet'!$E$12+1,1))</f>
        <v>370.79299728190904</v>
      </c>
      <c r="CE72" s="62">
        <f t="shared" si="94"/>
        <v>404.95703400805775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4.3589743589743595</v>
      </c>
      <c r="CT72" s="13">
        <f>IF('Données projet'!$A$140&gt;35,CT71+CS72-DB71,IF(A72&lt;'Données projet'!$A$140,$CQ$205^A72,IF(A72='Données projet'!$A$140,'Données projet'!$B$140,CT71+CS72-DB71)))</f>
        <v>203.97435897435889</v>
      </c>
      <c r="CU72" s="18">
        <f>CT72*VLOOKUP('Données projet'!$B$13,Paramètres!$A$1:$I$89,3,0)*VLOOKUP('Données projet'!$B$13,Paramètres!$A$1:$I$89,5,0)</f>
        <v>194.10199999999992</v>
      </c>
      <c r="CV72" s="14">
        <f t="shared" si="95"/>
        <v>48.445716343101545</v>
      </c>
      <c r="CW72" s="22">
        <f t="shared" si="67"/>
        <v>422.43727263090176</v>
      </c>
      <c r="CX72" s="62">
        <f t="shared" si="68"/>
        <v>715.77060596423507</v>
      </c>
      <c r="CY72" s="62">
        <f ca="1">AVERAGE(OFFSET($CX$3,0,0,'Données projet'!$E$13+1,1))-AVERAGE(OFFSET($H$3,0,0,'Données projet'!$E$13+1,1))</f>
        <v>351.34897243264044</v>
      </c>
      <c r="CZ72" s="62">
        <f t="shared" si="96"/>
        <v>268.39685058071603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4.6153846153846132</v>
      </c>
      <c r="DO72" s="13">
        <f>IF('Données projet'!$A$166&gt;35,DO71+DN72-DW71,IF(A72&lt;'Données projet'!$A$166,$DL$205^A72,IF(A72='Données projet'!$A$166,'Données projet'!$B$166,DO71+DN72-DW71)))</f>
        <v>240.89743589743577</v>
      </c>
      <c r="DP72" s="18">
        <f>DO72*VLOOKUP('Données projet'!$B$14,Paramètres!$A$1:$I$89,3,0)*VLOOKUP('Données projet'!$B$14,Paramètres!$A$1:$I$89,5,0)</f>
        <v>161.59399999999991</v>
      </c>
      <c r="DQ72" s="14">
        <f t="shared" si="97"/>
        <v>41.201838862429668</v>
      </c>
      <c r="DR72" s="22">
        <f t="shared" si="70"/>
        <v>353.20275268539814</v>
      </c>
      <c r="DS72" s="62">
        <f t="shared" si="71"/>
        <v>646.53608601873145</v>
      </c>
      <c r="DT72" s="62">
        <f ca="1">AVERAGE(OFFSET($DS$3,0,0,'Données projet'!$E$14+1,1))-AVERAGE(OFFSET($H$3,0,0,'Données projet'!$E$14+1,1))</f>
        <v>290.46086333591074</v>
      </c>
      <c r="DU72" s="62">
        <f t="shared" si="98"/>
        <v>236.8495901994267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-1.1368683772161603E-13</v>
      </c>
      <c r="EK72" s="18">
        <f>EJ72*VLOOKUP('Données projet'!$B$15,Paramètres!$A$1:$I$89,3,0)*VLOOKUP('Données projet'!$B$15,Paramètres!$A$1:$I$89,5,0)</f>
        <v>-9.2222762759774927E-14</v>
      </c>
      <c r="EL72" s="14" t="e">
        <f t="shared" si="99"/>
        <v>#NUM!</v>
      </c>
      <c r="EM72" s="22" t="e">
        <f t="shared" si="73"/>
        <v>#NUM!</v>
      </c>
      <c r="EN72" s="62" t="e">
        <f t="shared" si="74"/>
        <v>#NUM!</v>
      </c>
      <c r="EO72" s="62">
        <f ca="1">AVERAGE(OFFSET($EN$3,0,0,'Données projet'!$E$15+1,1))-AVERAGE(OFFSET($H$3,0,0,'Données projet'!$E$15+1,1))</f>
        <v>256.19915261735281</v>
      </c>
      <c r="EP72" s="62">
        <f t="shared" si="100"/>
        <v>297.47246687305056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12.555555555555555</v>
      </c>
      <c r="N73" s="14">
        <f>IF('Données projet'!$A$36&gt;35,N72+M73-V72,IF(A73&lt;'Données projet'!$A$36,$K$205^A73,IF(A73='Données projet'!$A$36,'Données projet'!$B$36,N72+M73-V72)))</f>
        <v>286.55555555555532</v>
      </c>
      <c r="O73" s="14">
        <f>N73*VLOOKUP('Données projet'!$B$9,Paramètres!$A$1:$I$89,3,0)*VLOOKUP('Données projet'!$B$9,Paramètres!$A$1:$I$89,5,0)</f>
        <v>245.86466666666649</v>
      </c>
      <c r="P73" s="14">
        <f t="shared" si="87"/>
        <v>59.699563669987469</v>
      </c>
      <c r="Q73" s="22">
        <f t="shared" si="54"/>
        <v>532.19103450300565</v>
      </c>
      <c r="R73" s="62">
        <f t="shared" si="55"/>
        <v>825.52436783633902</v>
      </c>
      <c r="S73" s="62">
        <f ca="1">AVERAGE(OFFSET($R$3,0,0,'Données projet'!$E$9+1,1))-AVERAGE(OFFSET($H$3,0,0,'Données projet'!$E$9+1,1))</f>
        <v>446.27304516866047</v>
      </c>
      <c r="T73" s="62">
        <f t="shared" si="88"/>
        <v>230.82970731138215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382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381.99999999999966</v>
      </c>
      <c r="AJ73" s="14">
        <f>AI73*VLOOKUP('Données projet'!$B$10,Paramètres!$A$1:$I$89,3,0)*VLOOKUP('Données projet'!$B$10,Paramètres!$A$1:$I$89,5,0)</f>
        <v>303.91919999999976</v>
      </c>
      <c r="AK73" s="14">
        <f t="shared" si="89"/>
        <v>71.997456655827293</v>
      </c>
      <c r="AL73" s="22">
        <f t="shared" si="58"/>
        <v>654.72151034223214</v>
      </c>
      <c r="AM73" s="62">
        <f t="shared" si="59"/>
        <v>948.05484367556551</v>
      </c>
      <c r="AN73" s="62">
        <f ca="1">AVERAGE(OFFSET($AM$3,0,0,'Données projet'!$E$10+1,1))-AVERAGE(OFFSET($H$3,0,0,'Données projet'!$E$10+1,1))</f>
        <v>427.78067187784063</v>
      </c>
      <c r="AO73" s="62">
        <f t="shared" si="90"/>
        <v>464.22892523825118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31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1.7053025658242404E-13</v>
      </c>
      <c r="BE73" s="14">
        <f>BD73*VLOOKUP('Données projet'!$B$11,Paramètres!$A$1:$I$89,3,0)*VLOOKUP('Données projet'!$B$11,Paramètres!$A$1:$I$89,5,0)</f>
        <v>1.3301360013429075E-13</v>
      </c>
      <c r="BF73" s="14">
        <f t="shared" si="91"/>
        <v>1.9329766731057041E-12</v>
      </c>
      <c r="BG73" s="22">
        <f t="shared" si="61"/>
        <v>3.5982663925596575E-12</v>
      </c>
      <c r="BH73" s="62">
        <f t="shared" si="62"/>
        <v>293.3333333333369</v>
      </c>
      <c r="BI73" s="62">
        <f ca="1">AVERAGE(OFFSET($BH$3,0,0,'Données projet'!$E$11+1,1))-AVERAGE(OFFSET($H$3,0,0,'Données projet'!$E$11+1,1))</f>
        <v>312.09994042858187</v>
      </c>
      <c r="BJ73" s="62">
        <f t="shared" si="92"/>
        <v>283.48738729114024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328</v>
      </c>
      <c r="BW73" s="13">
        <f>VLOOKUP(A73,'Données projet'!$A$113:$I$133,9,0)</f>
        <v>4.4000000000000004</v>
      </c>
      <c r="BX73" s="13">
        <f t="array" ref="BX73">INDEX(BW:BW,MIN(IF(ISNUMBER(BW73:BW269),ROW(BW73:BW269),"")))</f>
        <v>4.4000000000000004</v>
      </c>
      <c r="BY73" s="13">
        <f>IF('Données projet'!$A$114&gt;35,BY72+BX73-CG72,IF(A73&lt;'Données projet'!$A$114,$BV$205^A73,IF(A73='Données projet'!$A$114,'Données projet'!$B$114,BY72+BX73-CG72)))</f>
        <v>327.99999999999977</v>
      </c>
      <c r="BZ73" s="14">
        <f>BY73*VLOOKUP('Données projet'!$B$12,Paramètres!$A$1:$I$89,3,0)*VLOOKUP('Données projet'!$B$12,Paramètres!$A$1:$I$89,5,0)</f>
        <v>260.95679999999982</v>
      </c>
      <c r="CA73" s="14">
        <f t="shared" si="93"/>
        <v>62.926285429272689</v>
      </c>
      <c r="CB73" s="22">
        <f t="shared" si="64"/>
        <v>564.09637378931632</v>
      </c>
      <c r="CC73" s="62">
        <f t="shared" si="65"/>
        <v>857.42970712264969</v>
      </c>
      <c r="CD73" s="62">
        <f ca="1">AVERAGE(OFFSET($CC$3,0,0,'Données projet'!$E$12+1,1))-AVERAGE(OFFSET($H$3,0,0,'Données projet'!$E$12+1,1))</f>
        <v>370.79299728190904</v>
      </c>
      <c r="CE73" s="62">
        <f t="shared" si="94"/>
        <v>404.95703400805775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26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208.33333333333331</v>
      </c>
      <c r="CR73" s="13">
        <f>VLOOKUP(A73,'Données projet'!$A$139:$I$159,9,0)</f>
        <v>4.3589743589743595</v>
      </c>
      <c r="CS73" s="13">
        <f t="array" ref="CS73">INDEX(CR:CR,MIN(IF(ISNUMBER(CR73:CR269),ROW(CR73:CR269),"")))</f>
        <v>4.3589743589743595</v>
      </c>
      <c r="CT73" s="13">
        <f>IF('Données projet'!$A$140&gt;35,CT72+CS73-DB72,IF(A73&lt;'Données projet'!$A$140,$CQ$205^A73,IF(A73='Données projet'!$A$140,'Données projet'!$B$140,CT72+CS73-DB72)))</f>
        <v>208.33333333333326</v>
      </c>
      <c r="CU73" s="18">
        <f>CT73*VLOOKUP('Données projet'!$B$13,Paramètres!$A$1:$I$89,3,0)*VLOOKUP('Données projet'!$B$13,Paramètres!$A$1:$I$89,5,0)</f>
        <v>198.24999999999994</v>
      </c>
      <c r="CV73" s="14">
        <f t="shared" si="95"/>
        <v>49.359374195866835</v>
      </c>
      <c r="CW73" s="22">
        <f t="shared" si="67"/>
        <v>431.25299339113462</v>
      </c>
      <c r="CX73" s="62">
        <f t="shared" si="68"/>
        <v>724.58632672446788</v>
      </c>
      <c r="CY73" s="62">
        <f ca="1">AVERAGE(OFFSET($CX$3,0,0,'Données projet'!$E$13+1,1))-AVERAGE(OFFSET($H$3,0,0,'Données projet'!$E$13+1,1))</f>
        <v>351.34897243264044</v>
      </c>
      <c r="CZ73" s="62">
        <f t="shared" si="96"/>
        <v>268.39685058071603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27.564102564102562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245.5128205128205</v>
      </c>
      <c r="DM73" s="13">
        <f>VLOOKUP(A73,'Données projet'!$A$165:$I$185,9,0)</f>
        <v>4.6153846153846132</v>
      </c>
      <c r="DN73" s="13">
        <f t="array" ref="DN73">INDEX(DM:DM,MIN(IF(ISNUMBER(DM73:DM269),ROW(DM73:DM269),"")))</f>
        <v>4.6153846153846132</v>
      </c>
      <c r="DO73" s="13">
        <f>IF('Données projet'!$A$166&gt;35,DO72+DN73-DW72,IF(A73&lt;'Données projet'!$A$166,$DL$205^A73,IF(A73='Données projet'!$A$166,'Données projet'!$B$166,DO72+DN73-DW72)))</f>
        <v>245.51282051282038</v>
      </c>
      <c r="DP73" s="18">
        <f>DO73*VLOOKUP('Données projet'!$B$14,Paramètres!$A$1:$I$89,3,0)*VLOOKUP('Données projet'!$B$14,Paramètres!$A$1:$I$89,5,0)</f>
        <v>164.68999999999991</v>
      </c>
      <c r="DQ73" s="14">
        <f t="shared" si="97"/>
        <v>41.898572717556682</v>
      </c>
      <c r="DR73" s="22">
        <f t="shared" si="70"/>
        <v>359.80843081641109</v>
      </c>
      <c r="DS73" s="62">
        <f t="shared" si="71"/>
        <v>653.1417641497444</v>
      </c>
      <c r="DT73" s="62">
        <f ca="1">AVERAGE(OFFSET($DS$3,0,0,'Données projet'!$E$14+1,1))-AVERAGE(OFFSET($H$3,0,0,'Données projet'!$E$14+1,1))</f>
        <v>290.46086333591074</v>
      </c>
      <c r="DU73" s="62">
        <f t="shared" si="98"/>
        <v>236.8495901994267</v>
      </c>
      <c r="DV73" s="16">
        <f>IF(ISNA(VLOOKUP(A73,'Données projet'!$A$165:$I$185,3,0)),0,VLOOKUP(A73,'Données projet'!$A$165:$I$185,3,0))</f>
        <v>6</v>
      </c>
      <c r="DW73" s="16">
        <f>IF(ISNA(VLOOKUP(A73,'Données projet'!$A$165:$I$185,4,0)),0,VLOOKUP(A73,'Données projet'!$A$165:$I$185,4,0))</f>
        <v>26.282051282051281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-1.1368683772161603E-13</v>
      </c>
      <c r="EK73" s="18">
        <f>EJ73*VLOOKUP('Données projet'!$B$15,Paramètres!$A$1:$I$89,3,0)*VLOOKUP('Données projet'!$B$15,Paramètres!$A$1:$I$89,5,0)</f>
        <v>-9.2222762759774927E-14</v>
      </c>
      <c r="EL73" s="14" t="e">
        <f t="shared" si="99"/>
        <v>#NUM!</v>
      </c>
      <c r="EM73" s="22" t="e">
        <f t="shared" si="73"/>
        <v>#NUM!</v>
      </c>
      <c r="EN73" s="62" t="e">
        <f t="shared" si="74"/>
        <v>#NUM!</v>
      </c>
      <c r="EO73" s="62">
        <f ca="1">AVERAGE(OFFSET($EN$3,0,0,'Données projet'!$E$15+1,1))-AVERAGE(OFFSET($H$3,0,0,'Données projet'!$E$15+1,1))</f>
        <v>256.19915261735281</v>
      </c>
      <c r="EP73" s="62">
        <f t="shared" si="100"/>
        <v>297.47246687305056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12.555555555555555</v>
      </c>
      <c r="N74" s="14">
        <f>IF('Données projet'!$A$36&gt;35,N73+M74-V73,IF(A74&lt;'Données projet'!$A$36,$K$205^A74,IF(A74='Données projet'!$A$36,'Données projet'!$B$36,N73+M74-V73)))</f>
        <v>299.11111111111086</v>
      </c>
      <c r="O74" s="14">
        <f>N74*VLOOKUP('Données projet'!$B$9,Paramètres!$A$1:$I$89,3,0)*VLOOKUP('Données projet'!$B$9,Paramètres!$A$1:$I$89,5,0)</f>
        <v>256.63733333333312</v>
      </c>
      <c r="P74" s="14">
        <f t="shared" si="87"/>
        <v>62.005051158458208</v>
      </c>
      <c r="Q74" s="22">
        <f t="shared" si="54"/>
        <v>554.96881965653654</v>
      </c>
      <c r="R74" s="62">
        <f t="shared" si="55"/>
        <v>848.30215298986991</v>
      </c>
      <c r="S74" s="62">
        <f ca="1">AVERAGE(OFFSET($R$3,0,0,'Données projet'!$E$9+1,1))-AVERAGE(OFFSET($H$3,0,0,'Données projet'!$E$9+1,1))</f>
        <v>446.27304516866047</v>
      </c>
      <c r="T74" s="62">
        <f t="shared" si="88"/>
        <v>230.82970731138215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355.79999999999967</v>
      </c>
      <c r="AJ74" s="14">
        <f>AI74*VLOOKUP('Données projet'!$B$10,Paramètres!$A$1:$I$89,3,0)*VLOOKUP('Données projet'!$B$10,Paramètres!$A$1:$I$89,5,0)</f>
        <v>283.07447999999977</v>
      </c>
      <c r="AK74" s="14">
        <f t="shared" si="89"/>
        <v>67.616321363645156</v>
      </c>
      <c r="AL74" s="22">
        <f t="shared" si="58"/>
        <v>610.78647904168156</v>
      </c>
      <c r="AM74" s="62">
        <f t="shared" si="59"/>
        <v>904.11981237501482</v>
      </c>
      <c r="AN74" s="62">
        <f ca="1">AVERAGE(OFFSET($AM$3,0,0,'Données projet'!$E$10+1,1))-AVERAGE(OFFSET($H$3,0,0,'Données projet'!$E$10+1,1))</f>
        <v>427.78067187784063</v>
      </c>
      <c r="AO74" s="62">
        <f t="shared" si="90"/>
        <v>464.22892523825118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1.7053025658242404E-13</v>
      </c>
      <c r="BE74" s="14">
        <f>BD74*VLOOKUP('Données projet'!$B$11,Paramètres!$A$1:$I$89,3,0)*VLOOKUP('Données projet'!$B$11,Paramètres!$A$1:$I$89,5,0)</f>
        <v>1.3301360013429075E-13</v>
      </c>
      <c r="BF74" s="14">
        <f t="shared" si="91"/>
        <v>1.9329766731057041E-12</v>
      </c>
      <c r="BG74" s="22">
        <f t="shared" si="61"/>
        <v>3.5982663925596575E-12</v>
      </c>
      <c r="BH74" s="62">
        <f t="shared" si="62"/>
        <v>293.3333333333369</v>
      </c>
      <c r="BI74" s="62">
        <f ca="1">AVERAGE(OFFSET($BH$3,0,0,'Données projet'!$E$11+1,1))-AVERAGE(OFFSET($H$3,0,0,'Données projet'!$E$11+1,1))</f>
        <v>312.09994042858187</v>
      </c>
      <c r="BJ74" s="62">
        <f t="shared" si="92"/>
        <v>283.48738729114024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4.4000000000000004</v>
      </c>
      <c r="BY74" s="13">
        <f>IF('Données projet'!$A$114&gt;35,BY73+BX74-CG73,IF(A74&lt;'Données projet'!$A$114,$BV$205^A74,IF(A74='Données projet'!$A$114,'Données projet'!$B$114,BY73+BX74-CG73)))</f>
        <v>306.39999999999975</v>
      </c>
      <c r="BZ74" s="14">
        <f>BY74*VLOOKUP('Données projet'!$B$12,Paramètres!$A$1:$I$89,3,0)*VLOOKUP('Données projet'!$B$12,Paramètres!$A$1:$I$89,5,0)</f>
        <v>243.7718399999998</v>
      </c>
      <c r="CA74" s="14">
        <f t="shared" si="93"/>
        <v>59.250322254889134</v>
      </c>
      <c r="CB74" s="22">
        <f t="shared" si="64"/>
        <v>527.7635992605982</v>
      </c>
      <c r="CC74" s="62">
        <f t="shared" si="65"/>
        <v>821.09693259393157</v>
      </c>
      <c r="CD74" s="62">
        <f ca="1">AVERAGE(OFFSET($CC$3,0,0,'Données projet'!$E$12+1,1))-AVERAGE(OFFSET($H$3,0,0,'Données projet'!$E$12+1,1))</f>
        <v>370.79299728190904</v>
      </c>
      <c r="CE74" s="62">
        <f t="shared" si="94"/>
        <v>404.95703400805775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3.974358974358978</v>
      </c>
      <c r="CT74" s="13">
        <f>IF('Données projet'!$A$140&gt;35,CT73+CS74-DB73,IF(A74&lt;'Données projet'!$A$140,$CQ$205^A74,IF(A74='Données projet'!$A$140,'Données projet'!$B$140,CT73+CS74-DB73)))</f>
        <v>184.74358974358967</v>
      </c>
      <c r="CU74" s="18">
        <f>CT74*VLOOKUP('Données projet'!$B$13,Paramètres!$A$1:$I$89,3,0)*VLOOKUP('Données projet'!$B$13,Paramètres!$A$1:$I$89,5,0)</f>
        <v>175.80199999999994</v>
      </c>
      <c r="CV74" s="14">
        <f t="shared" si="95"/>
        <v>44.386929631997901</v>
      </c>
      <c r="CW74" s="22">
        <f t="shared" si="67"/>
        <v>383.49571910906292</v>
      </c>
      <c r="CX74" s="62">
        <f t="shared" si="68"/>
        <v>676.82905244239623</v>
      </c>
      <c r="CY74" s="62">
        <f ca="1">AVERAGE(OFFSET($CX$3,0,0,'Données projet'!$E$13+1,1))-AVERAGE(OFFSET($H$3,0,0,'Données projet'!$E$13+1,1))</f>
        <v>351.34897243264044</v>
      </c>
      <c r="CZ74" s="62">
        <f t="shared" si="96"/>
        <v>268.39685058071603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4.2307692307692317</v>
      </c>
      <c r="DO74" s="13">
        <f>IF('Données projet'!$A$166&gt;35,DO73+DN74-DW73,IF(A74&lt;'Données projet'!$A$166,$DL$205^A74,IF(A74='Données projet'!$A$166,'Données projet'!$B$166,DO73+DN74-DW73)))</f>
        <v>223.46153846153834</v>
      </c>
      <c r="DP74" s="18">
        <f>DO74*VLOOKUP('Données projet'!$B$14,Paramètres!$A$1:$I$89,3,0)*VLOOKUP('Données projet'!$B$14,Paramètres!$A$1:$I$89,5,0)</f>
        <v>149.89799999999994</v>
      </c>
      <c r="DQ74" s="14">
        <f t="shared" si="97"/>
        <v>38.555404837241944</v>
      </c>
      <c r="DR74" s="22">
        <f t="shared" si="70"/>
        <v>328.22301342486293</v>
      </c>
      <c r="DS74" s="62">
        <f t="shared" si="71"/>
        <v>621.55634675819624</v>
      </c>
      <c r="DT74" s="62">
        <f ca="1">AVERAGE(OFFSET($DS$3,0,0,'Données projet'!$E$14+1,1))-AVERAGE(OFFSET($H$3,0,0,'Données projet'!$E$14+1,1))</f>
        <v>290.46086333591074</v>
      </c>
      <c r="DU74" s="62">
        <f t="shared" si="98"/>
        <v>236.8495901994267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-1.1368683772161603E-13</v>
      </c>
      <c r="EK74" s="18">
        <f>EJ74*VLOOKUP('Données projet'!$B$15,Paramètres!$A$1:$I$89,3,0)*VLOOKUP('Données projet'!$B$15,Paramètres!$A$1:$I$89,5,0)</f>
        <v>-9.2222762759774927E-14</v>
      </c>
      <c r="EL74" s="14" t="e">
        <f t="shared" si="99"/>
        <v>#NUM!</v>
      </c>
      <c r="EM74" s="22" t="e">
        <f t="shared" si="73"/>
        <v>#NUM!</v>
      </c>
      <c r="EN74" s="62" t="e">
        <f t="shared" si="74"/>
        <v>#NUM!</v>
      </c>
      <c r="EO74" s="62">
        <f ca="1">AVERAGE(OFFSET($EN$3,0,0,'Données projet'!$E$15+1,1))-AVERAGE(OFFSET($H$3,0,0,'Données projet'!$E$15+1,1))</f>
        <v>256.19915261735281</v>
      </c>
      <c r="EP74" s="62">
        <f t="shared" si="100"/>
        <v>297.47246687305056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12.555555555555555</v>
      </c>
      <c r="N75" s="14">
        <f>IF('Données projet'!$A$36&gt;35,N74+M75-V74,IF(A75&lt;'Données projet'!$A$36,$K$205^A75,IF(A75='Données projet'!$A$36,'Données projet'!$B$36,N74+M75-V74)))</f>
        <v>311.6666666666664</v>
      </c>
      <c r="O75" s="14">
        <f>N75*VLOOKUP('Données projet'!$B$9,Paramètres!$A$1:$I$89,3,0)*VLOOKUP('Données projet'!$B$9,Paramètres!$A$1:$I$89,5,0)</f>
        <v>267.4099999999998</v>
      </c>
      <c r="P75" s="14">
        <f t="shared" si="87"/>
        <v>64.299297948636735</v>
      </c>
      <c r="Q75" s="22">
        <f t="shared" si="54"/>
        <v>577.72702726054183</v>
      </c>
      <c r="R75" s="62">
        <f t="shared" si="55"/>
        <v>871.0603605938752</v>
      </c>
      <c r="S75" s="62">
        <f ca="1">AVERAGE(OFFSET($R$3,0,0,'Données projet'!$E$9+1,1))-AVERAGE(OFFSET($H$3,0,0,'Données projet'!$E$9+1,1))</f>
        <v>446.27304516866047</v>
      </c>
      <c r="T75" s="62">
        <f t="shared" si="88"/>
        <v>230.82970731138215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360.59999999999968</v>
      </c>
      <c r="AJ75" s="14">
        <f>AI75*VLOOKUP('Données projet'!$B$10,Paramètres!$A$1:$I$89,3,0)*VLOOKUP('Données projet'!$B$10,Paramètres!$A$1:$I$89,5,0)</f>
        <v>286.89335999999975</v>
      </c>
      <c r="AK75" s="14">
        <f t="shared" si="89"/>
        <v>68.421705584684744</v>
      </c>
      <c r="AL75" s="22">
        <f t="shared" si="58"/>
        <v>618.84040589332551</v>
      </c>
      <c r="AM75" s="62">
        <f t="shared" si="59"/>
        <v>912.17373922665888</v>
      </c>
      <c r="AN75" s="62">
        <f ca="1">AVERAGE(OFFSET($AM$3,0,0,'Données projet'!$E$10+1,1))-AVERAGE(OFFSET($H$3,0,0,'Données projet'!$E$10+1,1))</f>
        <v>427.78067187784063</v>
      </c>
      <c r="AO75" s="62">
        <f t="shared" si="90"/>
        <v>464.22892523825118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1.7053025658242404E-13</v>
      </c>
      <c r="BE75" s="14">
        <f>BD75*VLOOKUP('Données projet'!$B$11,Paramètres!$A$1:$I$89,3,0)*VLOOKUP('Données projet'!$B$11,Paramètres!$A$1:$I$89,5,0)</f>
        <v>1.3301360013429075E-13</v>
      </c>
      <c r="BF75" s="14">
        <f t="shared" si="91"/>
        <v>1.9329766731057041E-12</v>
      </c>
      <c r="BG75" s="22">
        <f t="shared" si="61"/>
        <v>3.5982663925596575E-12</v>
      </c>
      <c r="BH75" s="62">
        <f t="shared" si="62"/>
        <v>293.3333333333369</v>
      </c>
      <c r="BI75" s="62">
        <f ca="1">AVERAGE(OFFSET($BH$3,0,0,'Données projet'!$E$11+1,1))-AVERAGE(OFFSET($H$3,0,0,'Données projet'!$E$11+1,1))</f>
        <v>312.09994042858187</v>
      </c>
      <c r="BJ75" s="62">
        <f t="shared" si="92"/>
        <v>283.48738729114024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4.4000000000000004</v>
      </c>
      <c r="BY75" s="13">
        <f>IF('Données projet'!$A$114&gt;35,BY74+BX75-CG74,IF(A75&lt;'Données projet'!$A$114,$BV$205^A75,IF(A75='Données projet'!$A$114,'Données projet'!$B$114,BY74+BX75-CG74)))</f>
        <v>310.79999999999973</v>
      </c>
      <c r="BZ75" s="14">
        <f>BY75*VLOOKUP('Données projet'!$B$12,Paramètres!$A$1:$I$89,3,0)*VLOOKUP('Données projet'!$B$12,Paramètres!$A$1:$I$89,5,0)</f>
        <v>247.2724799999998</v>
      </c>
      <c r="CA75" s="14">
        <f t="shared" si="93"/>
        <v>60.00151112391876</v>
      </c>
      <c r="CB75" s="22">
        <f t="shared" si="64"/>
        <v>535.16886787415808</v>
      </c>
      <c r="CC75" s="62">
        <f t="shared" si="65"/>
        <v>828.50220120749145</v>
      </c>
      <c r="CD75" s="62">
        <f ca="1">AVERAGE(OFFSET($CC$3,0,0,'Données projet'!$E$12+1,1))-AVERAGE(OFFSET($H$3,0,0,'Données projet'!$E$12+1,1))</f>
        <v>370.79299728190904</v>
      </c>
      <c r="CE75" s="62">
        <f t="shared" si="94"/>
        <v>404.95703400805775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3.974358974358978</v>
      </c>
      <c r="CT75" s="13">
        <f>IF('Données projet'!$A$140&gt;35,CT74+CS75-DB74,IF(A75&lt;'Données projet'!$A$140,$CQ$205^A75,IF(A75='Données projet'!$A$140,'Données projet'!$B$140,CT74+CS75-DB74)))</f>
        <v>188.71794871794864</v>
      </c>
      <c r="CU75" s="18">
        <f>CT75*VLOOKUP('Données projet'!$B$13,Paramètres!$A$1:$I$89,3,0)*VLOOKUP('Données projet'!$B$13,Paramètres!$A$1:$I$89,5,0)</f>
        <v>179.58399999999992</v>
      </c>
      <c r="CV75" s="14">
        <f t="shared" si="95"/>
        <v>45.229621371283365</v>
      </c>
      <c r="CW75" s="22">
        <f t="shared" si="67"/>
        <v>391.55039055498497</v>
      </c>
      <c r="CX75" s="62">
        <f t="shared" si="68"/>
        <v>684.88372388831829</v>
      </c>
      <c r="CY75" s="62">
        <f ca="1">AVERAGE(OFFSET($CX$3,0,0,'Données projet'!$E$13+1,1))-AVERAGE(OFFSET($H$3,0,0,'Données projet'!$E$13+1,1))</f>
        <v>351.34897243264044</v>
      </c>
      <c r="CZ75" s="62">
        <f t="shared" si="96"/>
        <v>268.39685058071603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4.2307692307692317</v>
      </c>
      <c r="DO75" s="13">
        <f>IF('Données projet'!$A$166&gt;35,DO74+DN75-DW74,IF(A75&lt;'Données projet'!$A$166,$DL$205^A75,IF(A75='Données projet'!$A$166,'Données projet'!$B$166,DO74+DN75-DW74)))</f>
        <v>227.69230769230757</v>
      </c>
      <c r="DP75" s="18">
        <f>DO75*VLOOKUP('Données projet'!$B$14,Paramètres!$A$1:$I$89,3,0)*VLOOKUP('Données projet'!$B$14,Paramètres!$A$1:$I$89,5,0)</f>
        <v>152.73599999999993</v>
      </c>
      <c r="DQ75" s="14">
        <f t="shared" si="97"/>
        <v>39.199695829376566</v>
      </c>
      <c r="DR75" s="22">
        <f t="shared" si="70"/>
        <v>334.28800356949745</v>
      </c>
      <c r="DS75" s="62">
        <f t="shared" si="71"/>
        <v>627.62133690283076</v>
      </c>
      <c r="DT75" s="62">
        <f ca="1">AVERAGE(OFFSET($DS$3,0,0,'Données projet'!$E$14+1,1))-AVERAGE(OFFSET($H$3,0,0,'Données projet'!$E$14+1,1))</f>
        <v>290.46086333591074</v>
      </c>
      <c r="DU75" s="62">
        <f t="shared" si="98"/>
        <v>236.8495901994267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-1.1368683772161603E-13</v>
      </c>
      <c r="EK75" s="18">
        <f>EJ75*VLOOKUP('Données projet'!$B$15,Paramètres!$A$1:$I$89,3,0)*VLOOKUP('Données projet'!$B$15,Paramètres!$A$1:$I$89,5,0)</f>
        <v>-9.2222762759774927E-14</v>
      </c>
      <c r="EL75" s="14" t="e">
        <f t="shared" si="99"/>
        <v>#NUM!</v>
      </c>
      <c r="EM75" s="22" t="e">
        <f t="shared" si="73"/>
        <v>#NUM!</v>
      </c>
      <c r="EN75" s="62" t="e">
        <f t="shared" si="74"/>
        <v>#NUM!</v>
      </c>
      <c r="EO75" s="62">
        <f ca="1">AVERAGE(OFFSET($EN$3,0,0,'Données projet'!$E$15+1,1))-AVERAGE(OFFSET($H$3,0,0,'Données projet'!$E$15+1,1))</f>
        <v>256.19915261735281</v>
      </c>
      <c r="EP75" s="62">
        <f t="shared" si="100"/>
        <v>297.47246687305056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12.555555555555555</v>
      </c>
      <c r="N76" s="14">
        <f>IF('Données projet'!$A$36&gt;35,N75+M76-V75,IF(A76&lt;'Données projet'!$A$36,$K$205^A76,IF(A76='Données projet'!$A$36,'Données projet'!$B$36,N75+M76-V75)))</f>
        <v>324.22222222222194</v>
      </c>
      <c r="O76" s="14">
        <f>N76*VLOOKUP('Données projet'!$B$9,Paramètres!$A$1:$I$89,3,0)*VLOOKUP('Données projet'!$B$9,Paramètres!$A$1:$I$89,5,0)</f>
        <v>278.18266666666648</v>
      </c>
      <c r="P76" s="14">
        <f t="shared" si="87"/>
        <v>66.582808678967709</v>
      </c>
      <c r="Q76" s="22">
        <f t="shared" si="54"/>
        <v>600.46653622697943</v>
      </c>
      <c r="R76" s="62">
        <f t="shared" si="55"/>
        <v>893.7998695603128</v>
      </c>
      <c r="S76" s="62">
        <f ca="1">AVERAGE(OFFSET($R$3,0,0,'Données projet'!$E$9+1,1))-AVERAGE(OFFSET($H$3,0,0,'Données projet'!$E$9+1,1))</f>
        <v>446.27304516866047</v>
      </c>
      <c r="T76" s="62">
        <f t="shared" si="88"/>
        <v>230.82970731138215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365.39999999999969</v>
      </c>
      <c r="AJ76" s="14">
        <f>AI76*VLOOKUP('Données projet'!$B$10,Paramètres!$A$1:$I$89,3,0)*VLOOKUP('Données projet'!$B$10,Paramètres!$A$1:$I$89,5,0)</f>
        <v>290.71223999999978</v>
      </c>
      <c r="AK76" s="14">
        <f t="shared" si="89"/>
        <v>69.225842856510994</v>
      </c>
      <c r="AL76" s="22">
        <f t="shared" si="58"/>
        <v>626.89216097508961</v>
      </c>
      <c r="AM76" s="62">
        <f t="shared" si="59"/>
        <v>920.22549430842287</v>
      </c>
      <c r="AN76" s="62">
        <f ca="1">AVERAGE(OFFSET($AM$3,0,0,'Données projet'!$E$10+1,1))-AVERAGE(OFFSET($H$3,0,0,'Données projet'!$E$10+1,1))</f>
        <v>427.78067187784063</v>
      </c>
      <c r="AO76" s="62">
        <f t="shared" si="90"/>
        <v>464.22892523825118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1.7053025658242404E-13</v>
      </c>
      <c r="BE76" s="14">
        <f>BD76*VLOOKUP('Données projet'!$B$11,Paramètres!$A$1:$I$89,3,0)*VLOOKUP('Données projet'!$B$11,Paramètres!$A$1:$I$89,5,0)</f>
        <v>1.3301360013429075E-13</v>
      </c>
      <c r="BF76" s="14">
        <f t="shared" si="91"/>
        <v>1.9329766731057041E-12</v>
      </c>
      <c r="BG76" s="22">
        <f t="shared" si="61"/>
        <v>3.5982663925596575E-12</v>
      </c>
      <c r="BH76" s="62">
        <f t="shared" si="62"/>
        <v>293.3333333333369</v>
      </c>
      <c r="BI76" s="62">
        <f ca="1">AVERAGE(OFFSET($BH$3,0,0,'Données projet'!$E$11+1,1))-AVERAGE(OFFSET($H$3,0,0,'Données projet'!$E$11+1,1))</f>
        <v>312.09994042858187</v>
      </c>
      <c r="BJ76" s="62">
        <f t="shared" si="92"/>
        <v>283.48738729114024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4.4000000000000004</v>
      </c>
      <c r="BY76" s="13">
        <f>IF('Données projet'!$A$114&gt;35,BY75+BX76-CG75,IF(A76&lt;'Données projet'!$A$114,$BV$205^A76,IF(A76='Données projet'!$A$114,'Données projet'!$B$114,BY75+BX76-CG75)))</f>
        <v>315.1999999999997</v>
      </c>
      <c r="BZ76" s="14">
        <f>BY76*VLOOKUP('Données projet'!$B$12,Paramètres!$A$1:$I$89,3,0)*VLOOKUP('Données projet'!$B$12,Paramètres!$A$1:$I$89,5,0)</f>
        <v>250.77311999999975</v>
      </c>
      <c r="CA76" s="14">
        <f t="shared" si="93"/>
        <v>60.75146310218134</v>
      </c>
      <c r="CB76" s="22">
        <f t="shared" si="64"/>
        <v>542.57198223629882</v>
      </c>
      <c r="CC76" s="62">
        <f t="shared" si="65"/>
        <v>835.90531556963219</v>
      </c>
      <c r="CD76" s="62">
        <f ca="1">AVERAGE(OFFSET($CC$3,0,0,'Données projet'!$E$12+1,1))-AVERAGE(OFFSET($H$3,0,0,'Données projet'!$E$12+1,1))</f>
        <v>370.79299728190904</v>
      </c>
      <c r="CE76" s="62">
        <f t="shared" si="94"/>
        <v>404.95703400805775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3.974358974358978</v>
      </c>
      <c r="CT76" s="13">
        <f>IF('Données projet'!$A$140&gt;35,CT75+CS76-DB75,IF(A76&lt;'Données projet'!$A$140,$CQ$205^A76,IF(A76='Données projet'!$A$140,'Données projet'!$B$140,CT75+CS76-DB75)))</f>
        <v>192.69230769230762</v>
      </c>
      <c r="CU76" s="18">
        <f>CT76*VLOOKUP('Données projet'!$B$13,Paramètres!$A$1:$I$89,3,0)*VLOOKUP('Données projet'!$B$13,Paramètres!$A$1:$I$89,5,0)</f>
        <v>183.36599999999993</v>
      </c>
      <c r="CV76" s="14">
        <f t="shared" si="95"/>
        <v>46.07024973949401</v>
      </c>
      <c r="CW76" s="22">
        <f t="shared" si="67"/>
        <v>399.6014682962853</v>
      </c>
      <c r="CX76" s="62">
        <f t="shared" si="68"/>
        <v>692.93480162961862</v>
      </c>
      <c r="CY76" s="62">
        <f ca="1">AVERAGE(OFFSET($CX$3,0,0,'Données projet'!$E$13+1,1))-AVERAGE(OFFSET($H$3,0,0,'Données projet'!$E$13+1,1))</f>
        <v>351.34897243264044</v>
      </c>
      <c r="CZ76" s="62">
        <f t="shared" si="96"/>
        <v>268.39685058071603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4.2307692307692317</v>
      </c>
      <c r="DO76" s="13">
        <f>IF('Données projet'!$A$166&gt;35,DO75+DN76-DW75,IF(A76&lt;'Données projet'!$A$166,$DL$205^A76,IF(A76='Données projet'!$A$166,'Données projet'!$B$166,DO75+DN76-DW75)))</f>
        <v>231.92307692307679</v>
      </c>
      <c r="DP76" s="18">
        <f>DO76*VLOOKUP('Données projet'!$B$14,Paramètres!$A$1:$I$89,3,0)*VLOOKUP('Données projet'!$B$14,Paramètres!$A$1:$I$89,5,0)</f>
        <v>155.5739999999999</v>
      </c>
      <c r="DQ76" s="14">
        <f t="shared" si="97"/>
        <v>39.842594745761488</v>
      </c>
      <c r="DR76" s="22">
        <f t="shared" si="70"/>
        <v>340.35056918220107</v>
      </c>
      <c r="DS76" s="62">
        <f t="shared" si="71"/>
        <v>633.68390251553433</v>
      </c>
      <c r="DT76" s="62">
        <f ca="1">AVERAGE(OFFSET($DS$3,0,0,'Données projet'!$E$14+1,1))-AVERAGE(OFFSET($H$3,0,0,'Données projet'!$E$14+1,1))</f>
        <v>290.46086333591074</v>
      </c>
      <c r="DU76" s="62">
        <f t="shared" si="98"/>
        <v>236.8495901994267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-1.1368683772161603E-13</v>
      </c>
      <c r="EK76" s="18">
        <f>EJ76*VLOOKUP('Données projet'!$B$15,Paramètres!$A$1:$I$89,3,0)*VLOOKUP('Données projet'!$B$15,Paramètres!$A$1:$I$89,5,0)</f>
        <v>-9.2222762759774927E-14</v>
      </c>
      <c r="EL76" s="14" t="e">
        <f t="shared" si="99"/>
        <v>#NUM!</v>
      </c>
      <c r="EM76" s="22" t="e">
        <f t="shared" si="73"/>
        <v>#NUM!</v>
      </c>
      <c r="EN76" s="62" t="e">
        <f t="shared" si="74"/>
        <v>#NUM!</v>
      </c>
      <c r="EO76" s="62">
        <f ca="1">AVERAGE(OFFSET($EN$3,0,0,'Données projet'!$E$15+1,1))-AVERAGE(OFFSET($H$3,0,0,'Données projet'!$E$15+1,1))</f>
        <v>256.19915261735281</v>
      </c>
      <c r="EP76" s="62">
        <f t="shared" si="100"/>
        <v>297.47246687305056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12.555555555555555</v>
      </c>
      <c r="N77" s="14">
        <f>IF('Données projet'!$A$36&gt;35,N76+M77-V76,IF(A77&lt;'Données projet'!$A$36,$K$205^A77,IF(A77='Données projet'!$A$36,'Données projet'!$B$36,N76+M77-V76)))</f>
        <v>336.77777777777749</v>
      </c>
      <c r="O77" s="14">
        <f>N77*VLOOKUP('Données projet'!$B$9,Paramètres!$A$1:$I$89,3,0)*VLOOKUP('Données projet'!$B$9,Paramètres!$A$1:$I$89,5,0)</f>
        <v>288.95533333333316</v>
      </c>
      <c r="P77" s="14">
        <f t="shared" si="87"/>
        <v>68.856046690289261</v>
      </c>
      <c r="Q77" s="22">
        <f t="shared" si="54"/>
        <v>623.18815354114236</v>
      </c>
      <c r="R77" s="62">
        <f t="shared" si="55"/>
        <v>916.52148687447561</v>
      </c>
      <c r="S77" s="62">
        <f ca="1">AVERAGE(OFFSET($R$3,0,0,'Données projet'!$E$9+1,1))-AVERAGE(OFFSET($H$3,0,0,'Données projet'!$E$9+1,1))</f>
        <v>446.27304516866047</v>
      </c>
      <c r="T77" s="62">
        <f t="shared" si="88"/>
        <v>230.82970731138215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370.1999999999997</v>
      </c>
      <c r="AJ77" s="14">
        <f>AI77*VLOOKUP('Données projet'!$B$10,Paramètres!$A$1:$I$89,3,0)*VLOOKUP('Données projet'!$B$10,Paramètres!$A$1:$I$89,5,0)</f>
        <v>294.53111999999976</v>
      </c>
      <c r="AK77" s="14">
        <f t="shared" si="89"/>
        <v>70.028751453157682</v>
      </c>
      <c r="AL77" s="22">
        <f t="shared" si="58"/>
        <v>634.94177611424914</v>
      </c>
      <c r="AM77" s="62">
        <f t="shared" si="59"/>
        <v>928.27510944758251</v>
      </c>
      <c r="AN77" s="62">
        <f ca="1">AVERAGE(OFFSET($AM$3,0,0,'Données projet'!$E$10+1,1))-AVERAGE(OFFSET($H$3,0,0,'Données projet'!$E$10+1,1))</f>
        <v>427.78067187784063</v>
      </c>
      <c r="AO77" s="62">
        <f t="shared" si="90"/>
        <v>464.22892523825118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1.7053025658242404E-13</v>
      </c>
      <c r="BE77" s="14">
        <f>BD77*VLOOKUP('Données projet'!$B$11,Paramètres!$A$1:$I$89,3,0)*VLOOKUP('Données projet'!$B$11,Paramètres!$A$1:$I$89,5,0)</f>
        <v>1.3301360013429075E-13</v>
      </c>
      <c r="BF77" s="14">
        <f t="shared" si="91"/>
        <v>1.9329766731057041E-12</v>
      </c>
      <c r="BG77" s="22">
        <f t="shared" si="61"/>
        <v>3.5982663925596575E-12</v>
      </c>
      <c r="BH77" s="62">
        <f t="shared" si="62"/>
        <v>293.3333333333369</v>
      </c>
      <c r="BI77" s="62">
        <f ca="1">AVERAGE(OFFSET($BH$3,0,0,'Données projet'!$E$11+1,1))-AVERAGE(OFFSET($H$3,0,0,'Données projet'!$E$11+1,1))</f>
        <v>312.09994042858187</v>
      </c>
      <c r="BJ77" s="62">
        <f t="shared" si="92"/>
        <v>283.48738729114024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4.4000000000000004</v>
      </c>
      <c r="BY77" s="13">
        <f>IF('Données projet'!$A$114&gt;35,BY76+BX77-CG76,IF(A77&lt;'Données projet'!$A$114,$BV$205^A77,IF(A77='Données projet'!$A$114,'Données projet'!$B$114,BY76+BX77-CG76)))</f>
        <v>319.59999999999968</v>
      </c>
      <c r="BZ77" s="14">
        <f>BY77*VLOOKUP('Données projet'!$B$12,Paramètres!$A$1:$I$89,3,0)*VLOOKUP('Données projet'!$B$12,Paramètres!$A$1:$I$89,5,0)</f>
        <v>254.27375999999975</v>
      </c>
      <c r="CA77" s="14">
        <f t="shared" si="93"/>
        <v>61.500197451316261</v>
      </c>
      <c r="CB77" s="22">
        <f t="shared" si="64"/>
        <v>549.97297589437528</v>
      </c>
      <c r="CC77" s="62">
        <f t="shared" si="65"/>
        <v>843.30630922770865</v>
      </c>
      <c r="CD77" s="62">
        <f ca="1">AVERAGE(OFFSET($CC$3,0,0,'Données projet'!$E$12+1,1))-AVERAGE(OFFSET($H$3,0,0,'Données projet'!$E$12+1,1))</f>
        <v>370.79299728190904</v>
      </c>
      <c r="CE77" s="62">
        <f t="shared" si="94"/>
        <v>404.95703400805775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3.974358974358978</v>
      </c>
      <c r="CT77" s="13">
        <f>IF('Données projet'!$A$140&gt;35,CT76+CS77-DB76,IF(A77&lt;'Données projet'!$A$140,$CQ$205^A77,IF(A77='Données projet'!$A$140,'Données projet'!$B$140,CT76+CS77-DB76)))</f>
        <v>196.6666666666666</v>
      </c>
      <c r="CU77" s="18">
        <f>CT77*VLOOKUP('Données projet'!$B$13,Paramètres!$A$1:$I$89,3,0)*VLOOKUP('Données projet'!$B$13,Paramètres!$A$1:$I$89,5,0)</f>
        <v>187.14799999999994</v>
      </c>
      <c r="CV77" s="14">
        <f t="shared" si="95"/>
        <v>46.908862198060476</v>
      </c>
      <c r="CW77" s="22">
        <f t="shared" si="67"/>
        <v>407.64903499495517</v>
      </c>
      <c r="CX77" s="62">
        <f t="shared" si="68"/>
        <v>700.98236832828843</v>
      </c>
      <c r="CY77" s="62">
        <f ca="1">AVERAGE(OFFSET($CX$3,0,0,'Données projet'!$E$13+1,1))-AVERAGE(OFFSET($H$3,0,0,'Données projet'!$E$13+1,1))</f>
        <v>351.34897243264044</v>
      </c>
      <c r="CZ77" s="62">
        <f t="shared" si="96"/>
        <v>268.39685058071603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4.2307692307692317</v>
      </c>
      <c r="DO77" s="13">
        <f>IF('Données projet'!$A$166&gt;35,DO76+DN77-DW76,IF(A77&lt;'Données projet'!$A$166,$DL$205^A77,IF(A77='Données projet'!$A$166,'Données projet'!$B$166,DO76+DN77-DW76)))</f>
        <v>236.15384615384602</v>
      </c>
      <c r="DP77" s="18">
        <f>DO77*VLOOKUP('Données projet'!$B$14,Paramètres!$A$1:$I$89,3,0)*VLOOKUP('Données projet'!$B$14,Paramètres!$A$1:$I$89,5,0)</f>
        <v>158.41199999999992</v>
      </c>
      <c r="DQ77" s="14">
        <f t="shared" si="97"/>
        <v>40.484129909813383</v>
      </c>
      <c r="DR77" s="22">
        <f t="shared" si="70"/>
        <v>346.41075959292488</v>
      </c>
      <c r="DS77" s="62">
        <f t="shared" si="71"/>
        <v>639.74409292625819</v>
      </c>
      <c r="DT77" s="62">
        <f ca="1">AVERAGE(OFFSET($DS$3,0,0,'Données projet'!$E$14+1,1))-AVERAGE(OFFSET($H$3,0,0,'Données projet'!$E$14+1,1))</f>
        <v>290.46086333591074</v>
      </c>
      <c r="DU77" s="62">
        <f t="shared" si="98"/>
        <v>236.8495901994267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-1.1368683772161603E-13</v>
      </c>
      <c r="EK77" s="18">
        <f>EJ77*VLOOKUP('Données projet'!$B$15,Paramètres!$A$1:$I$89,3,0)*VLOOKUP('Données projet'!$B$15,Paramètres!$A$1:$I$89,5,0)</f>
        <v>-9.2222762759774927E-14</v>
      </c>
      <c r="EL77" s="14" t="e">
        <f t="shared" si="99"/>
        <v>#NUM!</v>
      </c>
      <c r="EM77" s="22" t="e">
        <f t="shared" si="73"/>
        <v>#NUM!</v>
      </c>
      <c r="EN77" s="62" t="e">
        <f t="shared" si="74"/>
        <v>#NUM!</v>
      </c>
      <c r="EO77" s="62">
        <f ca="1">AVERAGE(OFFSET($EN$3,0,0,'Données projet'!$E$15+1,1))-AVERAGE(OFFSET($H$3,0,0,'Données projet'!$E$15+1,1))</f>
        <v>256.19915261735281</v>
      </c>
      <c r="EP77" s="62">
        <f t="shared" si="100"/>
        <v>297.47246687305056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12.555555555555555</v>
      </c>
      <c r="N78" s="14">
        <f>IF('Données projet'!$A$36&gt;35,N77+M78-V77,IF(A78&lt;'Données projet'!$A$36,$K$205^A78,IF(A78='Données projet'!$A$36,'Données projet'!$B$36,N77+M78-V77)))</f>
        <v>349.33333333333303</v>
      </c>
      <c r="O78" s="14">
        <f>N78*VLOOKUP('Données projet'!$B$9,Paramètres!$A$1:$I$89,3,0)*VLOOKUP('Données projet'!$B$9,Paramètres!$A$1:$I$89,5,0)</f>
        <v>299.72799999999978</v>
      </c>
      <c r="P78" s="14">
        <f t="shared" si="87"/>
        <v>71.119438818118951</v>
      </c>
      <c r="Q78" s="22">
        <f t="shared" si="54"/>
        <v>645.89262260822341</v>
      </c>
      <c r="R78" s="62">
        <f t="shared" si="55"/>
        <v>939.22595594155678</v>
      </c>
      <c r="S78" s="62">
        <f ca="1">AVERAGE(OFFSET($R$3,0,0,'Données projet'!$E$9+1,1))-AVERAGE(OFFSET($H$3,0,0,'Données projet'!$E$9+1,1))</f>
        <v>446.27304516866047</v>
      </c>
      <c r="T78" s="62">
        <f t="shared" si="88"/>
        <v>230.82970731138215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375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374.99999999999972</v>
      </c>
      <c r="AJ78" s="14">
        <f>AI78*VLOOKUP('Données projet'!$B$10,Paramètres!$A$1:$I$89,3,0)*VLOOKUP('Données projet'!$B$10,Paramètres!$A$1:$I$89,5,0)</f>
        <v>298.3499999999998</v>
      </c>
      <c r="AK78" s="14">
        <f t="shared" si="89"/>
        <v>70.83044914753448</v>
      </c>
      <c r="AL78" s="22">
        <f t="shared" si="58"/>
        <v>642.98928226528881</v>
      </c>
      <c r="AM78" s="62">
        <f t="shared" si="59"/>
        <v>936.32261559862218</v>
      </c>
      <c r="AN78" s="62">
        <f ca="1">AVERAGE(OFFSET($AM$3,0,0,'Données projet'!$E$10+1,1))-AVERAGE(OFFSET($H$3,0,0,'Données projet'!$E$10+1,1))</f>
        <v>427.78067187784063</v>
      </c>
      <c r="AO78" s="62">
        <f t="shared" si="90"/>
        <v>464.22892523825118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1.7053025658242404E-13</v>
      </c>
      <c r="BE78" s="14">
        <f>BD78*VLOOKUP('Données projet'!$B$11,Paramètres!$A$1:$I$89,3,0)*VLOOKUP('Données projet'!$B$11,Paramètres!$A$1:$I$89,5,0)</f>
        <v>1.3301360013429075E-13</v>
      </c>
      <c r="BF78" s="14">
        <f t="shared" si="91"/>
        <v>1.9329766731057041E-12</v>
      </c>
      <c r="BG78" s="22">
        <f t="shared" si="61"/>
        <v>3.5982663925596575E-12</v>
      </c>
      <c r="BH78" s="62">
        <f t="shared" si="62"/>
        <v>293.3333333333369</v>
      </c>
      <c r="BI78" s="62">
        <f ca="1">AVERAGE(OFFSET($BH$3,0,0,'Données projet'!$E$11+1,1))-AVERAGE(OFFSET($H$3,0,0,'Données projet'!$E$11+1,1))</f>
        <v>312.09994042858187</v>
      </c>
      <c r="BJ78" s="62">
        <f t="shared" si="92"/>
        <v>283.48738729114024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324</v>
      </c>
      <c r="BW78" s="13">
        <f>VLOOKUP(A78,'Données projet'!$A$113:$I$133,9,0)</f>
        <v>4.4000000000000004</v>
      </c>
      <c r="BX78" s="13">
        <f t="array" ref="BX78">INDEX(BW:BW,MIN(IF(ISNUMBER(BW78:BW274),ROW(BW78:BW274),"")))</f>
        <v>4.4000000000000004</v>
      </c>
      <c r="BY78" s="13">
        <f>IF('Données projet'!$A$114&gt;35,BY77+BX78-CG77,IF(A78&lt;'Données projet'!$A$114,$BV$205^A78,IF(A78='Données projet'!$A$114,'Données projet'!$B$114,BY77+BX78-CG77)))</f>
        <v>323.99999999999966</v>
      </c>
      <c r="BZ78" s="14">
        <f>BY78*VLOOKUP('Données projet'!$B$12,Paramètres!$A$1:$I$89,3,0)*VLOOKUP('Données projet'!$B$12,Paramètres!$A$1:$I$89,5,0)</f>
        <v>257.77439999999973</v>
      </c>
      <c r="CA78" s="14">
        <f t="shared" si="93"/>
        <v>62.247732872134243</v>
      </c>
      <c r="CB78" s="22">
        <f t="shared" si="64"/>
        <v>557.37188141896661</v>
      </c>
      <c r="CC78" s="62">
        <f t="shared" si="65"/>
        <v>850.70521475229998</v>
      </c>
      <c r="CD78" s="62">
        <f ca="1">AVERAGE(OFFSET($CC$3,0,0,'Données projet'!$E$12+1,1))-AVERAGE(OFFSET($H$3,0,0,'Données projet'!$E$12+1,1))</f>
        <v>370.79299728190904</v>
      </c>
      <c r="CE78" s="62">
        <f t="shared" si="94"/>
        <v>404.95703400805775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200.64102564102564</v>
      </c>
      <c r="CR78" s="13">
        <f>VLOOKUP(A78,'Données projet'!$A$139:$I$159,9,0)</f>
        <v>3.974358974358978</v>
      </c>
      <c r="CS78" s="13">
        <f t="array" ref="CS78">INDEX(CR:CR,MIN(IF(ISNUMBER(CR78:CR274),ROW(CR78:CR274),"")))</f>
        <v>3.974358974358978</v>
      </c>
      <c r="CT78" s="13">
        <f>IF('Données projet'!$A$140&gt;35,CT77+CS78-DB77,IF(A78&lt;'Données projet'!$A$140,$CQ$205^A78,IF(A78='Données projet'!$A$140,'Données projet'!$B$140,CT77+CS78-DB77)))</f>
        <v>200.64102564102558</v>
      </c>
      <c r="CU78" s="18">
        <f>CT78*VLOOKUP('Données projet'!$B$13,Paramètres!$A$1:$I$89,3,0)*VLOOKUP('Données projet'!$B$13,Paramètres!$A$1:$I$89,5,0)</f>
        <v>190.92999999999995</v>
      </c>
      <c r="CV78" s="14">
        <f t="shared" si="95"/>
        <v>47.745504180483643</v>
      </c>
      <c r="CW78" s="22">
        <f t="shared" si="67"/>
        <v>415.69316978100892</v>
      </c>
      <c r="CX78" s="62">
        <f t="shared" si="68"/>
        <v>709.02650311434218</v>
      </c>
      <c r="CY78" s="62">
        <f ca="1">AVERAGE(OFFSET($CX$3,0,0,'Données projet'!$E$13+1,1))-AVERAGE(OFFSET($H$3,0,0,'Données projet'!$E$13+1,1))</f>
        <v>351.34897243264044</v>
      </c>
      <c r="CZ78" s="62">
        <f t="shared" si="96"/>
        <v>268.39685058071603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240.38461538461539</v>
      </c>
      <c r="DM78" s="13">
        <f>VLOOKUP(A78,'Données projet'!$A$165:$I$185,9,0)</f>
        <v>4.2307692307692317</v>
      </c>
      <c r="DN78" s="13">
        <f t="array" ref="DN78">INDEX(DM:DM,MIN(IF(ISNUMBER(DM78:DM274),ROW(DM78:DM274),"")))</f>
        <v>4.2307692307692317</v>
      </c>
      <c r="DO78" s="13">
        <f>IF('Données projet'!$A$166&gt;35,DO77+DN78-DW77,IF(A78&lt;'Données projet'!$A$166,$DL$205^A78,IF(A78='Données projet'!$A$166,'Données projet'!$B$166,DO77+DN78-DW77)))</f>
        <v>240.38461538461524</v>
      </c>
      <c r="DP78" s="18">
        <f>DO78*VLOOKUP('Données projet'!$B$14,Paramètres!$A$1:$I$89,3,0)*VLOOKUP('Données projet'!$B$14,Paramètres!$A$1:$I$89,5,0)</f>
        <v>161.24999999999991</v>
      </c>
      <c r="DQ78" s="14">
        <f t="shared" si="97"/>
        <v>41.124328571986396</v>
      </c>
      <c r="DR78" s="22">
        <f t="shared" si="70"/>
        <v>352.46862226287612</v>
      </c>
      <c r="DS78" s="62">
        <f t="shared" si="71"/>
        <v>645.80195559620938</v>
      </c>
      <c r="DT78" s="62">
        <f ca="1">AVERAGE(OFFSET($DS$3,0,0,'Données projet'!$E$14+1,1))-AVERAGE(OFFSET($H$3,0,0,'Données projet'!$E$14+1,1))</f>
        <v>290.46086333591074</v>
      </c>
      <c r="DU78" s="62">
        <f t="shared" si="98"/>
        <v>236.8495901994267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-1.1368683772161603E-13</v>
      </c>
      <c r="EK78" s="18">
        <f>EJ78*VLOOKUP('Données projet'!$B$15,Paramètres!$A$1:$I$89,3,0)*VLOOKUP('Données projet'!$B$15,Paramètres!$A$1:$I$89,5,0)</f>
        <v>-9.2222762759774927E-14</v>
      </c>
      <c r="EL78" s="14" t="e">
        <f t="shared" si="99"/>
        <v>#NUM!</v>
      </c>
      <c r="EM78" s="22" t="e">
        <f t="shared" si="73"/>
        <v>#NUM!</v>
      </c>
      <c r="EN78" s="62" t="e">
        <f t="shared" si="74"/>
        <v>#NUM!</v>
      </c>
      <c r="EO78" s="62">
        <f ca="1">AVERAGE(OFFSET($EN$3,0,0,'Données projet'!$E$15+1,1))-AVERAGE(OFFSET($H$3,0,0,'Données projet'!$E$15+1,1))</f>
        <v>256.19915261735281</v>
      </c>
      <c r="EP78" s="62">
        <f t="shared" si="100"/>
        <v>297.47246687305056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12.555555555555555</v>
      </c>
      <c r="N79" s="14">
        <f>IF('Données projet'!$A$36&gt;35,N78+M79-V78,IF(A79&lt;'Données projet'!$A$36,$K$205^A79,IF(A79='Données projet'!$A$36,'Données projet'!$B$36,N78+M79-V78)))</f>
        <v>361.88888888888857</v>
      </c>
      <c r="O79" s="14">
        <f>N79*VLOOKUP('Données projet'!$B$9,Paramètres!$A$1:$I$89,3,0)*VLOOKUP('Données projet'!$B$9,Paramètres!$A$1:$I$89,5,0)</f>
        <v>310.5006666666664</v>
      </c>
      <c r="P79" s="14">
        <f t="shared" si="87"/>
        <v>73.373379476611461</v>
      </c>
      <c r="Q79" s="22">
        <f t="shared" si="54"/>
        <v>668.58063036620888</v>
      </c>
      <c r="R79" s="62">
        <f t="shared" si="55"/>
        <v>961.91396369954214</v>
      </c>
      <c r="S79" s="62">
        <f ca="1">AVERAGE(OFFSET($R$3,0,0,'Données projet'!$E$9+1,1))-AVERAGE(OFFSET($H$3,0,0,'Données projet'!$E$9+1,1))</f>
        <v>446.27304516866047</v>
      </c>
      <c r="T79" s="62">
        <f t="shared" si="88"/>
        <v>230.82970731138215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4.2</v>
      </c>
      <c r="AI79" s="14">
        <f>IF('Données projet'!$A$62&gt;35,AI78+AH79-AQ78,IF(A79&lt;'Données projet'!$A$62,$AF$205^A79,IF(A79='Données projet'!$A$62,'Données projet'!$B$62,AI78+AH79-AQ78)))</f>
        <v>379.1999999999997</v>
      </c>
      <c r="AJ79" s="14">
        <f>AI79*VLOOKUP('Données projet'!$B$10,Paramètres!$A$1:$I$89,3,0)*VLOOKUP('Données projet'!$B$10,Paramètres!$A$1:$I$89,5,0)</f>
        <v>301.6915199999998</v>
      </c>
      <c r="AK79" s="14">
        <f t="shared" si="89"/>
        <v>71.530954916923548</v>
      </c>
      <c r="AL79" s="22">
        <f t="shared" si="58"/>
        <v>650.02914381364155</v>
      </c>
      <c r="AM79" s="62">
        <f t="shared" si="59"/>
        <v>943.36247714697492</v>
      </c>
      <c r="AN79" s="62">
        <f ca="1">AVERAGE(OFFSET($AM$3,0,0,'Données projet'!$E$10+1,1))-AVERAGE(OFFSET($H$3,0,0,'Données projet'!$E$10+1,1))</f>
        <v>427.78067187784063</v>
      </c>
      <c r="AO79" s="62">
        <f t="shared" si="90"/>
        <v>464.22892523825118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1.7053025658242404E-13</v>
      </c>
      <c r="BE79" s="14">
        <f>BD79*VLOOKUP('Données projet'!$B$11,Paramètres!$A$1:$I$89,3,0)*VLOOKUP('Données projet'!$B$11,Paramètres!$A$1:$I$89,5,0)</f>
        <v>1.3301360013429075E-13</v>
      </c>
      <c r="BF79" s="14">
        <f t="shared" si="91"/>
        <v>1.9329766731057041E-12</v>
      </c>
      <c r="BG79" s="22">
        <f t="shared" si="61"/>
        <v>3.5982663925596575E-12</v>
      </c>
      <c r="BH79" s="62">
        <f t="shared" si="62"/>
        <v>293.3333333333369</v>
      </c>
      <c r="BI79" s="62">
        <f ca="1">AVERAGE(OFFSET($BH$3,0,0,'Données projet'!$E$11+1,1))-AVERAGE(OFFSET($H$3,0,0,'Données projet'!$E$11+1,1))</f>
        <v>312.09994042858187</v>
      </c>
      <c r="BJ79" s="62">
        <f t="shared" si="92"/>
        <v>283.48738729114024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3.6</v>
      </c>
      <c r="BY79" s="13">
        <f>IF('Données projet'!$A$114&gt;35,BY78+BX79-CG78,IF(A79&lt;'Données projet'!$A$114,$BV$205^A79,IF(A79='Données projet'!$A$114,'Données projet'!$B$114,BY78+BX79-CG78)))</f>
        <v>327.59999999999968</v>
      </c>
      <c r="BZ79" s="14">
        <f>BY79*VLOOKUP('Données projet'!$B$12,Paramètres!$A$1:$I$89,3,0)*VLOOKUP('Données projet'!$B$12,Paramètres!$A$1:$I$89,5,0)</f>
        <v>260.63855999999976</v>
      </c>
      <c r="CA79" s="14">
        <f t="shared" si="93"/>
        <v>62.858473704931782</v>
      </c>
      <c r="CB79" s="22">
        <f t="shared" si="64"/>
        <v>563.4240003694224</v>
      </c>
      <c r="CC79" s="62">
        <f t="shared" si="65"/>
        <v>856.75733370275566</v>
      </c>
      <c r="CD79" s="62">
        <f ca="1">AVERAGE(OFFSET($CC$3,0,0,'Données projet'!$E$12+1,1))-AVERAGE(OFFSET($H$3,0,0,'Données projet'!$E$12+1,1))</f>
        <v>370.79299728190904</v>
      </c>
      <c r="CE79" s="62">
        <f t="shared" si="94"/>
        <v>404.95703400805775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3.8461538461538454</v>
      </c>
      <c r="CT79" s="13">
        <f>IF('Données projet'!$A$140&gt;35,CT78+CS79-DB78,IF(A79&lt;'Données projet'!$A$140,$CQ$205^A79,IF(A79='Données projet'!$A$140,'Données projet'!$B$140,CT78+CS79-DB78)))</f>
        <v>204.48717948717942</v>
      </c>
      <c r="CU79" s="18">
        <f>CT79*VLOOKUP('Données projet'!$B$13,Paramètres!$A$1:$I$89,3,0)*VLOOKUP('Données projet'!$B$13,Paramètres!$A$1:$I$89,5,0)</f>
        <v>194.58999999999995</v>
      </c>
      <c r="CV79" s="14">
        <f t="shared" si="95"/>
        <v>48.553322571172053</v>
      </c>
      <c r="CW79" s="22">
        <f t="shared" si="67"/>
        <v>423.47462014479123</v>
      </c>
      <c r="CX79" s="62">
        <f t="shared" si="68"/>
        <v>716.80795347812455</v>
      </c>
      <c r="CY79" s="62">
        <f ca="1">AVERAGE(OFFSET($CX$3,0,0,'Données projet'!$E$13+1,1))-AVERAGE(OFFSET($H$3,0,0,'Données projet'!$E$13+1,1))</f>
        <v>351.34897243264044</v>
      </c>
      <c r="CZ79" s="62">
        <f t="shared" si="96"/>
        <v>268.39685058071603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4.2307692307692317</v>
      </c>
      <c r="DO79" s="13">
        <f>IF('Données projet'!$A$166&gt;35,DO78+DN79-DW78,IF(A79&lt;'Données projet'!$A$166,$DL$205^A79,IF(A79='Données projet'!$A$166,'Données projet'!$B$166,DO78+DN79-DW78)))</f>
        <v>244.61538461538447</v>
      </c>
      <c r="DP79" s="18">
        <f>DO79*VLOOKUP('Données projet'!$B$14,Paramètres!$A$1:$I$89,3,0)*VLOOKUP('Données projet'!$B$14,Paramètres!$A$1:$I$89,5,0)</f>
        <v>164.08799999999991</v>
      </c>
      <c r="DQ79" s="14">
        <f t="shared" si="97"/>
        <v>41.763216968574739</v>
      </c>
      <c r="DR79" s="22">
        <f t="shared" si="70"/>
        <v>358.52420288693412</v>
      </c>
      <c r="DS79" s="62">
        <f t="shared" si="71"/>
        <v>651.85753622026743</v>
      </c>
      <c r="DT79" s="62">
        <f ca="1">AVERAGE(OFFSET($DS$3,0,0,'Données projet'!$E$14+1,1))-AVERAGE(OFFSET($H$3,0,0,'Données projet'!$E$14+1,1))</f>
        <v>290.46086333591074</v>
      </c>
      <c r="DU79" s="62">
        <f t="shared" si="98"/>
        <v>236.8495901994267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-1.1368683772161603E-13</v>
      </c>
      <c r="EK79" s="18">
        <f>EJ79*VLOOKUP('Données projet'!$B$15,Paramètres!$A$1:$I$89,3,0)*VLOOKUP('Données projet'!$B$15,Paramètres!$A$1:$I$89,5,0)</f>
        <v>-9.2222762759774927E-14</v>
      </c>
      <c r="EL79" s="14" t="e">
        <f t="shared" si="99"/>
        <v>#NUM!</v>
      </c>
      <c r="EM79" s="22" t="e">
        <f t="shared" si="73"/>
        <v>#NUM!</v>
      </c>
      <c r="EN79" s="62" t="e">
        <f t="shared" si="74"/>
        <v>#NUM!</v>
      </c>
      <c r="EO79" s="62">
        <f ca="1">AVERAGE(OFFSET($EN$3,0,0,'Données projet'!$E$15+1,1))-AVERAGE(OFFSET($H$3,0,0,'Données projet'!$E$15+1,1))</f>
        <v>256.19915261735281</v>
      </c>
      <c r="EP79" s="62">
        <f t="shared" si="100"/>
        <v>297.47246687305056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12.555555555555555</v>
      </c>
      <c r="N80" s="14">
        <f>IF('Données projet'!$A$36&gt;35,N79+M80-V79,IF(A80&lt;'Données projet'!$A$36,$K$205^A80,IF(A80='Données projet'!$A$36,'Données projet'!$B$36,N79+M80-V79)))</f>
        <v>374.44444444444412</v>
      </c>
      <c r="O80" s="14">
        <f>N80*VLOOKUP('Données projet'!$B$9,Paramètres!$A$1:$I$89,3,0)*VLOOKUP('Données projet'!$B$9,Paramètres!$A$1:$I$89,5,0)</f>
        <v>321.27333333333308</v>
      </c>
      <c r="P80" s="14">
        <f t="shared" si="87"/>
        <v>75.618234159828049</v>
      </c>
      <c r="Q80" s="22">
        <f t="shared" si="54"/>
        <v>691.25281338392233</v>
      </c>
      <c r="R80" s="62">
        <f t="shared" si="55"/>
        <v>984.58614671725559</v>
      </c>
      <c r="S80" s="62">
        <f ca="1">AVERAGE(OFFSET($R$3,0,0,'Données projet'!$E$9+1,1))-AVERAGE(OFFSET($H$3,0,0,'Données projet'!$E$9+1,1))</f>
        <v>446.27304516866047</v>
      </c>
      <c r="T80" s="62">
        <f t="shared" si="88"/>
        <v>230.82970731138215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4.2</v>
      </c>
      <c r="AI80" s="14">
        <f>IF('Données projet'!$A$62&gt;35,AI79+AH80-AQ79,IF(A80&lt;'Données projet'!$A$62,$AF$205^A80,IF(A80='Données projet'!$A$62,'Données projet'!$B$62,AI79+AH80-AQ79)))</f>
        <v>383.39999999999969</v>
      </c>
      <c r="AJ80" s="14">
        <f>AI80*VLOOKUP('Données projet'!$B$10,Paramètres!$A$1:$I$89,3,0)*VLOOKUP('Données projet'!$B$10,Paramètres!$A$1:$I$89,5,0)</f>
        <v>305.0330399999998</v>
      </c>
      <c r="AK80" s="14">
        <f t="shared" si="89"/>
        <v>72.230558128303628</v>
      </c>
      <c r="AL80" s="22">
        <f t="shared" si="58"/>
        <v>657.06743340679509</v>
      </c>
      <c r="AM80" s="62">
        <f t="shared" si="59"/>
        <v>950.40076674012835</v>
      </c>
      <c r="AN80" s="62">
        <f ca="1">AVERAGE(OFFSET($AM$3,0,0,'Données projet'!$E$10+1,1))-AVERAGE(OFFSET($H$3,0,0,'Données projet'!$E$10+1,1))</f>
        <v>427.78067187784063</v>
      </c>
      <c r="AO80" s="62">
        <f t="shared" si="90"/>
        <v>464.22892523825118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1.7053025658242404E-13</v>
      </c>
      <c r="BE80" s="14">
        <f>BD80*VLOOKUP('Données projet'!$B$11,Paramètres!$A$1:$I$89,3,0)*VLOOKUP('Données projet'!$B$11,Paramètres!$A$1:$I$89,5,0)</f>
        <v>1.3301360013429075E-13</v>
      </c>
      <c r="BF80" s="14">
        <f t="shared" si="91"/>
        <v>1.9329766731057041E-12</v>
      </c>
      <c r="BG80" s="22">
        <f t="shared" si="61"/>
        <v>3.5982663925596575E-12</v>
      </c>
      <c r="BH80" s="62">
        <f t="shared" si="62"/>
        <v>293.3333333333369</v>
      </c>
      <c r="BI80" s="62">
        <f ca="1">AVERAGE(OFFSET($BH$3,0,0,'Données projet'!$E$11+1,1))-AVERAGE(OFFSET($H$3,0,0,'Données projet'!$E$11+1,1))</f>
        <v>312.09994042858187</v>
      </c>
      <c r="BJ80" s="62">
        <f t="shared" si="92"/>
        <v>283.48738729114024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3.6</v>
      </c>
      <c r="BY80" s="13">
        <f>IF('Données projet'!$A$114&gt;35,BY79+BX80-CG79,IF(A80&lt;'Données projet'!$A$114,$BV$205^A80,IF(A80='Données projet'!$A$114,'Données projet'!$B$114,BY79+BX80-CG79)))</f>
        <v>331.1999999999997</v>
      </c>
      <c r="BZ80" s="14">
        <f>BY80*VLOOKUP('Données projet'!$B$12,Paramètres!$A$1:$I$89,3,0)*VLOOKUP('Données projet'!$B$12,Paramètres!$A$1:$I$89,5,0)</f>
        <v>263.50271999999978</v>
      </c>
      <c r="CA80" s="14">
        <f t="shared" si="93"/>
        <v>63.468433809179686</v>
      </c>
      <c r="CB80" s="22">
        <f t="shared" si="64"/>
        <v>569.47475955098753</v>
      </c>
      <c r="CC80" s="62">
        <f t="shared" si="65"/>
        <v>862.80809288432079</v>
      </c>
      <c r="CD80" s="62">
        <f ca="1">AVERAGE(OFFSET($CC$3,0,0,'Données projet'!$E$12+1,1))-AVERAGE(OFFSET($H$3,0,0,'Données projet'!$E$12+1,1))</f>
        <v>370.79299728190904</v>
      </c>
      <c r="CE80" s="62">
        <f t="shared" si="94"/>
        <v>404.95703400805775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3.8461538461538454</v>
      </c>
      <c r="CT80" s="13">
        <f>IF('Données projet'!$A$140&gt;35,CT79+CS80-DB79,IF(A80&lt;'Données projet'!$A$140,$CQ$205^A80,IF(A80='Données projet'!$A$140,'Données projet'!$B$140,CT79+CS80-DB79)))</f>
        <v>208.33333333333326</v>
      </c>
      <c r="CU80" s="18">
        <f>CT80*VLOOKUP('Données projet'!$B$13,Paramètres!$A$1:$I$89,3,0)*VLOOKUP('Données projet'!$B$13,Paramètres!$A$1:$I$89,5,0)</f>
        <v>198.24999999999994</v>
      </c>
      <c r="CV80" s="14">
        <f t="shared" si="95"/>
        <v>49.359374195866835</v>
      </c>
      <c r="CW80" s="22">
        <f t="shared" si="67"/>
        <v>431.25299339113462</v>
      </c>
      <c r="CX80" s="62">
        <f t="shared" si="68"/>
        <v>724.58632672446788</v>
      </c>
      <c r="CY80" s="62">
        <f ca="1">AVERAGE(OFFSET($CX$3,0,0,'Données projet'!$E$13+1,1))-AVERAGE(OFFSET($H$3,0,0,'Données projet'!$E$13+1,1))</f>
        <v>351.34897243264044</v>
      </c>
      <c r="CZ80" s="62">
        <f t="shared" si="96"/>
        <v>268.39685058071603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4.2307692307692317</v>
      </c>
      <c r="DO80" s="13">
        <f>IF('Données projet'!$A$166&gt;35,DO79+DN80-DW79,IF(A80&lt;'Données projet'!$A$166,$DL$205^A80,IF(A80='Données projet'!$A$166,'Données projet'!$B$166,DO79+DN80-DW79)))</f>
        <v>248.8461538461537</v>
      </c>
      <c r="DP80" s="18">
        <f>DO80*VLOOKUP('Données projet'!$B$14,Paramètres!$A$1:$I$89,3,0)*VLOOKUP('Données projet'!$B$14,Paramètres!$A$1:$I$89,5,0)</f>
        <v>166.9259999999999</v>
      </c>
      <c r="DQ80" s="14">
        <f t="shared" si="97"/>
        <v>42.400820376331644</v>
      </c>
      <c r="DR80" s="22">
        <f t="shared" si="70"/>
        <v>364.57754548877739</v>
      </c>
      <c r="DS80" s="62">
        <f t="shared" si="71"/>
        <v>657.9108788221107</v>
      </c>
      <c r="DT80" s="62">
        <f ca="1">AVERAGE(OFFSET($DS$3,0,0,'Données projet'!$E$14+1,1))-AVERAGE(OFFSET($H$3,0,0,'Données projet'!$E$14+1,1))</f>
        <v>290.46086333591074</v>
      </c>
      <c r="DU80" s="62">
        <f t="shared" si="98"/>
        <v>236.8495901994267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-1.1368683772161603E-13</v>
      </c>
      <c r="EK80" s="18">
        <f>EJ80*VLOOKUP('Données projet'!$B$15,Paramètres!$A$1:$I$89,3,0)*VLOOKUP('Données projet'!$B$15,Paramètres!$A$1:$I$89,5,0)</f>
        <v>-9.2222762759774927E-14</v>
      </c>
      <c r="EL80" s="14" t="e">
        <f t="shared" si="99"/>
        <v>#NUM!</v>
      </c>
      <c r="EM80" s="22" t="e">
        <f t="shared" si="73"/>
        <v>#NUM!</v>
      </c>
      <c r="EN80" s="62" t="e">
        <f t="shared" si="74"/>
        <v>#NUM!</v>
      </c>
      <c r="EO80" s="62">
        <f ca="1">AVERAGE(OFFSET($EN$3,0,0,'Données projet'!$E$15+1,1))-AVERAGE(OFFSET($H$3,0,0,'Données projet'!$E$15+1,1))</f>
        <v>256.19915261735281</v>
      </c>
      <c r="EP80" s="62">
        <f t="shared" si="100"/>
        <v>297.47246687305056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387</v>
      </c>
      <c r="L81" s="13">
        <f>VLOOKUP(A81,'Données projet'!$A$35:$I$55,9,0)</f>
        <v>12.555555555555555</v>
      </c>
      <c r="M81" s="13">
        <f t="array" ref="M81">INDEX(L:L,MIN(IF(ISNUMBER(L81:L277),ROW(L81:L277),"")))</f>
        <v>12.555555555555555</v>
      </c>
      <c r="N81" s="14">
        <f>IF('Données projet'!$A$36&gt;35,N80+M81-V80,IF(A81&lt;'Données projet'!$A$36,$K$205^A81,IF(A81='Données projet'!$A$36,'Données projet'!$B$36,N80+M81-V80)))</f>
        <v>386.99999999999966</v>
      </c>
      <c r="O81" s="14">
        <f>N81*VLOOKUP('Données projet'!$B$9,Paramètres!$A$1:$I$89,3,0)*VLOOKUP('Données projet'!$B$9,Paramètres!$A$1:$I$89,5,0)</f>
        <v>332.04599999999971</v>
      </c>
      <c r="P81" s="14">
        <f t="shared" si="87"/>
        <v>77.854342460208571</v>
      </c>
      <c r="Q81" s="22">
        <f t="shared" si="54"/>
        <v>713.90976311819611</v>
      </c>
      <c r="R81" s="62">
        <f t="shared" si="55"/>
        <v>1007.2430964515295</v>
      </c>
      <c r="S81" s="62">
        <f ca="1">AVERAGE(OFFSET($R$3,0,0,'Données projet'!$E$9+1,1))-AVERAGE(OFFSET($H$3,0,0,'Données projet'!$E$9+1,1))</f>
        <v>446.27304516866047</v>
      </c>
      <c r="T81" s="62">
        <f t="shared" si="88"/>
        <v>230.82970731138215</v>
      </c>
      <c r="U81" s="16">
        <f>IF(ISNA(VLOOKUP(A81,'Données projet'!$A$35:$I$55,3,0)),0,VLOOKUP(A81,'Données projet'!$A$35:$I$55,3,0))</f>
        <v>9</v>
      </c>
      <c r="V81" s="16">
        <f>IF(ISNA(VLOOKUP(A81,'Données projet'!$A$35:$I$55,4,0)),0,VLOOKUP(A81,'Données projet'!$A$35:$I$55,4,0))</f>
        <v>39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4.2</v>
      </c>
      <c r="AI81" s="14">
        <f>IF('Données projet'!$A$62&gt;35,AI80+AH81-AQ80,IF(A81&lt;'Données projet'!$A$62,$AF$205^A81,IF(A81='Données projet'!$A$62,'Données projet'!$B$62,AI80+AH81-AQ80)))</f>
        <v>387.59999999999968</v>
      </c>
      <c r="AJ81" s="14">
        <f>AI81*VLOOKUP('Données projet'!$B$10,Paramètres!$A$1:$I$89,3,0)*VLOOKUP('Données projet'!$B$10,Paramètres!$A$1:$I$89,5,0)</f>
        <v>308.37455999999975</v>
      </c>
      <c r="AK81" s="14">
        <f t="shared" si="89"/>
        <v>72.929269813127945</v>
      </c>
      <c r="AL81" s="22">
        <f t="shared" si="58"/>
        <v>664.10417025786398</v>
      </c>
      <c r="AM81" s="62">
        <f t="shared" si="59"/>
        <v>957.43750359119736</v>
      </c>
      <c r="AN81" s="62">
        <f ca="1">AVERAGE(OFFSET($AM$3,0,0,'Données projet'!$E$10+1,1))-AVERAGE(OFFSET($H$3,0,0,'Données projet'!$E$10+1,1))</f>
        <v>427.78067187784063</v>
      </c>
      <c r="AO81" s="62">
        <f t="shared" si="90"/>
        <v>464.22892523825118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1.7053025658242404E-13</v>
      </c>
      <c r="BE81" s="14">
        <f>BD81*VLOOKUP('Données projet'!$B$11,Paramètres!$A$1:$I$89,3,0)*VLOOKUP('Données projet'!$B$11,Paramètres!$A$1:$I$89,5,0)</f>
        <v>1.3301360013429075E-13</v>
      </c>
      <c r="BF81" s="14">
        <f t="shared" si="91"/>
        <v>1.9329766731057041E-12</v>
      </c>
      <c r="BG81" s="22">
        <f t="shared" si="61"/>
        <v>3.5982663925596575E-12</v>
      </c>
      <c r="BH81" s="62">
        <f t="shared" si="62"/>
        <v>293.3333333333369</v>
      </c>
      <c r="BI81" s="62">
        <f ca="1">AVERAGE(OFFSET($BH$3,0,0,'Données projet'!$E$11+1,1))-AVERAGE(OFFSET($H$3,0,0,'Données projet'!$E$11+1,1))</f>
        <v>312.09994042858187</v>
      </c>
      <c r="BJ81" s="62">
        <f t="shared" si="92"/>
        <v>283.48738729114024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3.6</v>
      </c>
      <c r="BY81" s="13">
        <f>IF('Données projet'!$A$114&gt;35,BY80+BX81-CG80,IF(A81&lt;'Données projet'!$A$114,$BV$205^A81,IF(A81='Données projet'!$A$114,'Données projet'!$B$114,BY80+BX81-CG80)))</f>
        <v>334.79999999999973</v>
      </c>
      <c r="BZ81" s="14">
        <f>BY81*VLOOKUP('Données projet'!$B$12,Paramètres!$A$1:$I$89,3,0)*VLOOKUP('Données projet'!$B$12,Paramètres!$A$1:$I$89,5,0)</f>
        <v>266.36687999999981</v>
      </c>
      <c r="CA81" s="14">
        <f t="shared" si="93"/>
        <v>64.077622653233107</v>
      </c>
      <c r="CB81" s="22">
        <f t="shared" si="64"/>
        <v>575.52417545438061</v>
      </c>
      <c r="CC81" s="62">
        <f t="shared" si="65"/>
        <v>868.85750878771387</v>
      </c>
      <c r="CD81" s="62">
        <f ca="1">AVERAGE(OFFSET($CC$3,0,0,'Données projet'!$E$12+1,1))-AVERAGE(OFFSET($H$3,0,0,'Données projet'!$E$12+1,1))</f>
        <v>370.79299728190904</v>
      </c>
      <c r="CE81" s="62">
        <f t="shared" si="94"/>
        <v>404.95703400805775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3.8461538461538454</v>
      </c>
      <c r="CT81" s="13">
        <f>IF('Données projet'!$A$140&gt;35,CT80+CS81-DB80,IF(A81&lt;'Données projet'!$A$140,$CQ$205^A81,IF(A81='Données projet'!$A$140,'Données projet'!$B$140,CT80+CS81-DB80)))</f>
        <v>212.1794871794871</v>
      </c>
      <c r="CU81" s="18">
        <f>CT81*VLOOKUP('Données projet'!$B$13,Paramètres!$A$1:$I$89,3,0)*VLOOKUP('Données projet'!$B$13,Paramètres!$A$1:$I$89,5,0)</f>
        <v>201.90999999999991</v>
      </c>
      <c r="CV81" s="14">
        <f t="shared" si="95"/>
        <v>50.163695433500841</v>
      </c>
      <c r="CW81" s="22">
        <f t="shared" si="67"/>
        <v>439.02835288001376</v>
      </c>
      <c r="CX81" s="62">
        <f t="shared" si="68"/>
        <v>732.36168621334707</v>
      </c>
      <c r="CY81" s="62">
        <f ca="1">AVERAGE(OFFSET($CX$3,0,0,'Données projet'!$E$13+1,1))-AVERAGE(OFFSET($H$3,0,0,'Données projet'!$E$13+1,1))</f>
        <v>351.34897243264044</v>
      </c>
      <c r="CZ81" s="62">
        <f t="shared" si="96"/>
        <v>268.39685058071603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4.2307692307692317</v>
      </c>
      <c r="DO81" s="13">
        <f>IF('Données projet'!$A$166&gt;35,DO80+DN81-DW80,IF(A81&lt;'Données projet'!$A$166,$DL$205^A81,IF(A81='Données projet'!$A$166,'Données projet'!$B$166,DO80+DN81-DW80)))</f>
        <v>253.07692307692292</v>
      </c>
      <c r="DP81" s="18">
        <f>DO81*VLOOKUP('Données projet'!$B$14,Paramètres!$A$1:$I$89,3,0)*VLOOKUP('Données projet'!$B$14,Paramètres!$A$1:$I$89,5,0)</f>
        <v>169.7639999999999</v>
      </c>
      <c r="DQ81" s="14">
        <f t="shared" si="97"/>
        <v>43.037163163268886</v>
      </c>
      <c r="DR81" s="22">
        <f t="shared" si="70"/>
        <v>370.62869250935978</v>
      </c>
      <c r="DS81" s="62">
        <f t="shared" si="71"/>
        <v>663.96202584269304</v>
      </c>
      <c r="DT81" s="62">
        <f ca="1">AVERAGE(OFFSET($DS$3,0,0,'Données projet'!$E$14+1,1))-AVERAGE(OFFSET($H$3,0,0,'Données projet'!$E$14+1,1))</f>
        <v>290.46086333591074</v>
      </c>
      <c r="DU81" s="62">
        <f t="shared" si="98"/>
        <v>236.8495901994267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-1.1368683772161603E-13</v>
      </c>
      <c r="EK81" s="18">
        <f>EJ81*VLOOKUP('Données projet'!$B$15,Paramètres!$A$1:$I$89,3,0)*VLOOKUP('Données projet'!$B$15,Paramètres!$A$1:$I$89,5,0)</f>
        <v>-9.2222762759774927E-14</v>
      </c>
      <c r="EL81" s="14" t="e">
        <f t="shared" si="99"/>
        <v>#NUM!</v>
      </c>
      <c r="EM81" s="22" t="e">
        <f t="shared" si="73"/>
        <v>#NUM!</v>
      </c>
      <c r="EN81" s="62" t="e">
        <f t="shared" si="74"/>
        <v>#NUM!</v>
      </c>
      <c r="EO81" s="62">
        <f ca="1">AVERAGE(OFFSET($EN$3,0,0,'Données projet'!$E$15+1,1))-AVERAGE(OFFSET($H$3,0,0,'Données projet'!$E$15+1,1))</f>
        <v>256.19915261735281</v>
      </c>
      <c r="EP81" s="62">
        <f t="shared" si="100"/>
        <v>297.47246687305056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12</v>
      </c>
      <c r="N82" s="14">
        <f>IF('Données projet'!$A$36&gt;35,N81+M82-V81,IF(A82&lt;'Données projet'!$A$36,$K$205^A82,IF(A82='Données projet'!$A$36,'Données projet'!$B$36,N81+M82-V81)))</f>
        <v>359.99999999999966</v>
      </c>
      <c r="O82" s="14">
        <f>N82*VLOOKUP('Données projet'!$B$9,Paramètres!$A$1:$I$89,3,0)*VLOOKUP('Données projet'!$B$9,Paramètres!$A$1:$I$89,5,0)</f>
        <v>308.87999999999977</v>
      </c>
      <c r="P82" s="14">
        <f t="shared" si="87"/>
        <v>73.034880345800715</v>
      </c>
      <c r="Q82" s="22">
        <f t="shared" si="54"/>
        <v>665.16841660226919</v>
      </c>
      <c r="R82" s="62">
        <f t="shared" si="55"/>
        <v>958.50174993560245</v>
      </c>
      <c r="S82" s="62">
        <f ca="1">AVERAGE(OFFSET($R$3,0,0,'Données projet'!$E$9+1,1))-AVERAGE(OFFSET($H$3,0,0,'Données projet'!$E$9+1,1))</f>
        <v>446.27304516866047</v>
      </c>
      <c r="T82" s="62">
        <f t="shared" si="88"/>
        <v>230.82970731138215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4.2</v>
      </c>
      <c r="AI82" s="14">
        <f>IF('Données projet'!$A$62&gt;35,AI81+AH82-AQ81,IF(A82&lt;'Données projet'!$A$62,$AF$205^A82,IF(A82='Données projet'!$A$62,'Données projet'!$B$62,AI81+AH82-AQ81)))</f>
        <v>391.79999999999967</v>
      </c>
      <c r="AJ82" s="14">
        <f>AI82*VLOOKUP('Données projet'!$B$10,Paramètres!$A$1:$I$89,3,0)*VLOOKUP('Données projet'!$B$10,Paramètres!$A$1:$I$89,5,0)</f>
        <v>311.71607999999975</v>
      </c>
      <c r="AK82" s="14">
        <f t="shared" si="89"/>
        <v>73.627100750009134</v>
      </c>
      <c r="AL82" s="22">
        <f t="shared" si="58"/>
        <v>671.13937313959877</v>
      </c>
      <c r="AM82" s="62">
        <f t="shared" si="59"/>
        <v>964.47270647293203</v>
      </c>
      <c r="AN82" s="62">
        <f ca="1">AVERAGE(OFFSET($AM$3,0,0,'Données projet'!$E$10+1,1))-AVERAGE(OFFSET($H$3,0,0,'Données projet'!$E$10+1,1))</f>
        <v>427.78067187784063</v>
      </c>
      <c r="AO82" s="62">
        <f t="shared" si="90"/>
        <v>464.22892523825118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1.7053025658242404E-13</v>
      </c>
      <c r="BE82" s="14">
        <f>BD82*VLOOKUP('Données projet'!$B$11,Paramètres!$A$1:$I$89,3,0)*VLOOKUP('Données projet'!$B$11,Paramètres!$A$1:$I$89,5,0)</f>
        <v>1.3301360013429075E-13</v>
      </c>
      <c r="BF82" s="14">
        <f t="shared" si="91"/>
        <v>1.9329766731057041E-12</v>
      </c>
      <c r="BG82" s="22">
        <f t="shared" si="61"/>
        <v>3.5982663925596575E-12</v>
      </c>
      <c r="BH82" s="62">
        <f t="shared" si="62"/>
        <v>293.3333333333369</v>
      </c>
      <c r="BI82" s="62">
        <f ca="1">AVERAGE(OFFSET($BH$3,0,0,'Données projet'!$E$11+1,1))-AVERAGE(OFFSET($H$3,0,0,'Données projet'!$E$11+1,1))</f>
        <v>312.09994042858187</v>
      </c>
      <c r="BJ82" s="62">
        <f t="shared" si="92"/>
        <v>283.48738729114024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3.6</v>
      </c>
      <c r="BY82" s="13">
        <f>IF('Données projet'!$A$114&gt;35,BY81+BX82-CG81,IF(A82&lt;'Données projet'!$A$114,$BV$205^A82,IF(A82='Données projet'!$A$114,'Données projet'!$B$114,BY81+BX82-CG81)))</f>
        <v>338.39999999999975</v>
      </c>
      <c r="BZ82" s="14">
        <f>BY82*VLOOKUP('Données projet'!$B$12,Paramètres!$A$1:$I$89,3,0)*VLOOKUP('Données projet'!$B$12,Paramètres!$A$1:$I$89,5,0)</f>
        <v>269.23103999999984</v>
      </c>
      <c r="CA82" s="14">
        <f t="shared" si="93"/>
        <v>64.686049490098227</v>
      </c>
      <c r="CB82" s="22">
        <f t="shared" si="64"/>
        <v>581.57226419525409</v>
      </c>
      <c r="CC82" s="62">
        <f t="shared" si="65"/>
        <v>874.90559752858735</v>
      </c>
      <c r="CD82" s="62">
        <f ca="1">AVERAGE(OFFSET($CC$3,0,0,'Données projet'!$E$12+1,1))-AVERAGE(OFFSET($H$3,0,0,'Données projet'!$E$12+1,1))</f>
        <v>370.79299728190904</v>
      </c>
      <c r="CE82" s="62">
        <f t="shared" si="94"/>
        <v>404.95703400805775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3.8461538461538454</v>
      </c>
      <c r="CT82" s="13">
        <f>IF('Données projet'!$A$140&gt;35,CT81+CS82-DB81,IF(A82&lt;'Données projet'!$A$140,$CQ$205^A82,IF(A82='Données projet'!$A$140,'Données projet'!$B$140,CT81+CS82-DB81)))</f>
        <v>216.02564102564094</v>
      </c>
      <c r="CU82" s="18">
        <f>CT82*VLOOKUP('Données projet'!$B$13,Paramètres!$A$1:$I$89,3,0)*VLOOKUP('Données projet'!$B$13,Paramètres!$A$1:$I$89,5,0)</f>
        <v>205.56999999999991</v>
      </c>
      <c r="CV82" s="14">
        <f t="shared" si="95"/>
        <v>50.966321268617726</v>
      </c>
      <c r="CW82" s="22">
        <f t="shared" si="67"/>
        <v>446.8007595428424</v>
      </c>
      <c r="CX82" s="62">
        <f t="shared" si="68"/>
        <v>740.13409287617571</v>
      </c>
      <c r="CY82" s="62">
        <f ca="1">AVERAGE(OFFSET($CX$3,0,0,'Données projet'!$E$13+1,1))-AVERAGE(OFFSET($H$3,0,0,'Données projet'!$E$13+1,1))</f>
        <v>351.34897243264044</v>
      </c>
      <c r="CZ82" s="62">
        <f t="shared" si="96"/>
        <v>268.39685058071603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4.2307692307692317</v>
      </c>
      <c r="DO82" s="13">
        <f>IF('Données projet'!$A$166&gt;35,DO81+DN82-DW81,IF(A82&lt;'Données projet'!$A$166,$DL$205^A82,IF(A82='Données projet'!$A$166,'Données projet'!$B$166,DO81+DN82-DW81)))</f>
        <v>257.30769230769215</v>
      </c>
      <c r="DP82" s="18">
        <f>DO82*VLOOKUP('Données projet'!$B$14,Paramètres!$A$1:$I$89,3,0)*VLOOKUP('Données projet'!$B$14,Paramètres!$A$1:$I$89,5,0)</f>
        <v>172.60199999999989</v>
      </c>
      <c r="DQ82" s="14">
        <f t="shared" si="97"/>
        <v>43.672268835963003</v>
      </c>
      <c r="DR82" s="22">
        <f t="shared" si="70"/>
        <v>376.67768488930204</v>
      </c>
      <c r="DS82" s="62">
        <f t="shared" si="71"/>
        <v>670.01101822263536</v>
      </c>
      <c r="DT82" s="62">
        <f ca="1">AVERAGE(OFFSET($DS$3,0,0,'Données projet'!$E$14+1,1))-AVERAGE(OFFSET($H$3,0,0,'Données projet'!$E$14+1,1))</f>
        <v>290.46086333591074</v>
      </c>
      <c r="DU82" s="62">
        <f t="shared" si="98"/>
        <v>236.8495901994267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-1.1368683772161603E-13</v>
      </c>
      <c r="EK82" s="18">
        <f>EJ82*VLOOKUP('Données projet'!$B$15,Paramètres!$A$1:$I$89,3,0)*VLOOKUP('Données projet'!$B$15,Paramètres!$A$1:$I$89,5,0)</f>
        <v>-9.2222762759774927E-14</v>
      </c>
      <c r="EL82" s="14" t="e">
        <f t="shared" si="99"/>
        <v>#NUM!</v>
      </c>
      <c r="EM82" s="22" t="e">
        <f t="shared" si="73"/>
        <v>#NUM!</v>
      </c>
      <c r="EN82" s="62" t="e">
        <f t="shared" si="74"/>
        <v>#NUM!</v>
      </c>
      <c r="EO82" s="62">
        <f ca="1">AVERAGE(OFFSET($EN$3,0,0,'Données projet'!$E$15+1,1))-AVERAGE(OFFSET($H$3,0,0,'Données projet'!$E$15+1,1))</f>
        <v>256.19915261735281</v>
      </c>
      <c r="EP82" s="62">
        <f t="shared" si="100"/>
        <v>297.47246687305056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12</v>
      </c>
      <c r="N83" s="14">
        <f>IF('Données projet'!$A$36&gt;35,N82+M83-V82,IF(A83&lt;'Données projet'!$A$36,$K$205^A83,IF(A83='Données projet'!$A$36,'Données projet'!$B$36,N82+M83-V82)))</f>
        <v>371.99999999999966</v>
      </c>
      <c r="O83" s="14">
        <f>N83*VLOOKUP('Données projet'!$B$9,Paramètres!$A$1:$I$89,3,0)*VLOOKUP('Données projet'!$B$9,Paramètres!$A$1:$I$89,5,0)</f>
        <v>319.17599999999976</v>
      </c>
      <c r="P83" s="14">
        <f t="shared" si="87"/>
        <v>75.181878718947615</v>
      </c>
      <c r="Q83" s="22">
        <f t="shared" si="54"/>
        <v>686.8399721021666</v>
      </c>
      <c r="R83" s="62">
        <f t="shared" si="55"/>
        <v>980.17330543549997</v>
      </c>
      <c r="S83" s="62">
        <f ca="1">AVERAGE(OFFSET($R$3,0,0,'Données projet'!$E$9+1,1))-AVERAGE(OFFSET($H$3,0,0,'Données projet'!$E$9+1,1))</f>
        <v>446.27304516866047</v>
      </c>
      <c r="T83" s="62">
        <f t="shared" si="88"/>
        <v>230.82970731138215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396</v>
      </c>
      <c r="AG83" s="13">
        <f>VLOOKUP(A83,'Données projet'!$A$61:$I$81,9,0)</f>
        <v>4.2</v>
      </c>
      <c r="AH83" s="13">
        <f t="array" ref="AH83">INDEX(AG:AG,MIN(IF(ISNUMBER(AG83:AG279),ROW(AG83:AG279),"")))</f>
        <v>4.2</v>
      </c>
      <c r="AI83" s="14">
        <f>IF('Données projet'!$A$62&gt;35,AI82+AH83-AQ82,IF(A83&lt;'Données projet'!$A$62,$AF$205^A83,IF(A83='Données projet'!$A$62,'Données projet'!$B$62,AI82+AH83-AQ82)))</f>
        <v>395.99999999999966</v>
      </c>
      <c r="AJ83" s="14">
        <f>AI83*VLOOKUP('Données projet'!$B$10,Paramètres!$A$1:$I$89,3,0)*VLOOKUP('Données projet'!$B$10,Paramètres!$A$1:$I$89,5,0)</f>
        <v>315.05759999999975</v>
      </c>
      <c r="AK83" s="14">
        <f t="shared" si="89"/>
        <v>74.324061473160583</v>
      </c>
      <c r="AL83" s="22">
        <f t="shared" si="58"/>
        <v>678.17306039908749</v>
      </c>
      <c r="AM83" s="62">
        <f t="shared" si="59"/>
        <v>971.50639373242075</v>
      </c>
      <c r="AN83" s="62">
        <f ca="1">AVERAGE(OFFSET($AM$3,0,0,'Données projet'!$E$10+1,1))-AVERAGE(OFFSET($H$3,0,0,'Données projet'!$E$10+1,1))</f>
        <v>427.78067187784063</v>
      </c>
      <c r="AO83" s="62">
        <f t="shared" si="90"/>
        <v>464.22892523825118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396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1.7053025658242404E-13</v>
      </c>
      <c r="BE83" s="14">
        <f>BD83*VLOOKUP('Données projet'!$B$11,Paramètres!$A$1:$I$89,3,0)*VLOOKUP('Données projet'!$B$11,Paramètres!$A$1:$I$89,5,0)</f>
        <v>1.3301360013429075E-13</v>
      </c>
      <c r="BF83" s="14">
        <f t="shared" si="91"/>
        <v>1.9329766731057041E-12</v>
      </c>
      <c r="BG83" s="22">
        <f t="shared" si="61"/>
        <v>3.5982663925596575E-12</v>
      </c>
      <c r="BH83" s="62">
        <f t="shared" si="62"/>
        <v>293.3333333333369</v>
      </c>
      <c r="BI83" s="62">
        <f ca="1">AVERAGE(OFFSET($BH$3,0,0,'Données projet'!$E$11+1,1))-AVERAGE(OFFSET($H$3,0,0,'Données projet'!$E$11+1,1))</f>
        <v>312.09994042858187</v>
      </c>
      <c r="BJ83" s="62">
        <f t="shared" si="92"/>
        <v>283.48738729114024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342</v>
      </c>
      <c r="BW83" s="13">
        <f>VLOOKUP(A83,'Données projet'!$A$113:$I$133,9,0)</f>
        <v>3.6</v>
      </c>
      <c r="BX83" s="13">
        <f t="array" ref="BX83">INDEX(BW:BW,MIN(IF(ISNUMBER(BW83:BW279),ROW(BW83:BW279),"")))</f>
        <v>3.6</v>
      </c>
      <c r="BY83" s="13">
        <f>IF('Données projet'!$A$114&gt;35,BY82+BX83-CG82,IF(A83&lt;'Données projet'!$A$114,$BV$205^A83,IF(A83='Données projet'!$A$114,'Données projet'!$B$114,BY82+BX83-CG82)))</f>
        <v>341.99999999999977</v>
      </c>
      <c r="BZ83" s="14">
        <f>BY83*VLOOKUP('Données projet'!$B$12,Paramètres!$A$1:$I$89,3,0)*VLOOKUP('Données projet'!$B$12,Paramètres!$A$1:$I$89,5,0)</f>
        <v>272.09519999999981</v>
      </c>
      <c r="CA83" s="14">
        <f t="shared" si="93"/>
        <v>65.293723364568379</v>
      </c>
      <c r="CB83" s="22">
        <f t="shared" si="64"/>
        <v>587.61904152662294</v>
      </c>
      <c r="CC83" s="62">
        <f t="shared" si="65"/>
        <v>880.95237485995631</v>
      </c>
      <c r="CD83" s="62">
        <f ca="1">AVERAGE(OFFSET($CC$3,0,0,'Données projet'!$E$12+1,1))-AVERAGE(OFFSET($H$3,0,0,'Données projet'!$E$12+1,1))</f>
        <v>370.79299728190904</v>
      </c>
      <c r="CE83" s="62">
        <f t="shared" si="94"/>
        <v>404.95703400805775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342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219.87179487179486</v>
      </c>
      <c r="CR83" s="13">
        <f>VLOOKUP(A83,'Données projet'!$A$139:$I$159,9,0)</f>
        <v>3.8461538461538454</v>
      </c>
      <c r="CS83" s="13">
        <f t="array" ref="CS83">INDEX(CR:CR,MIN(IF(ISNUMBER(CR83:CR279),ROW(CR83:CR279),"")))</f>
        <v>3.8461538461538454</v>
      </c>
      <c r="CT83" s="13">
        <f>IF('Données projet'!$A$140&gt;35,CT82+CS83-DB82,IF(A83&lt;'Données projet'!$A$140,$CQ$205^A83,IF(A83='Données projet'!$A$140,'Données projet'!$B$140,CT82+CS83-DB82)))</f>
        <v>219.87179487179478</v>
      </c>
      <c r="CU83" s="18">
        <f>CT83*VLOOKUP('Données projet'!$B$13,Paramètres!$A$1:$I$89,3,0)*VLOOKUP('Données projet'!$B$13,Paramètres!$A$1:$I$89,5,0)</f>
        <v>209.2299999999999</v>
      </c>
      <c r="CV83" s="14">
        <f t="shared" si="95"/>
        <v>51.767285368675161</v>
      </c>
      <c r="CW83" s="22">
        <f t="shared" si="67"/>
        <v>454.57027201710906</v>
      </c>
      <c r="CX83" s="62">
        <f t="shared" si="68"/>
        <v>747.90360535044238</v>
      </c>
      <c r="CY83" s="62">
        <f ca="1">AVERAGE(OFFSET($CX$3,0,0,'Données projet'!$E$13+1,1))-AVERAGE(OFFSET($H$3,0,0,'Données projet'!$E$13+1,1))</f>
        <v>351.34897243264044</v>
      </c>
      <c r="CZ83" s="62">
        <f t="shared" si="96"/>
        <v>268.39685058071603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26.282051282051281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261.53846153846155</v>
      </c>
      <c r="DM83" s="13">
        <f>VLOOKUP(A83,'Données projet'!$A$165:$I$185,9,0)</f>
        <v>4.2307692307692317</v>
      </c>
      <c r="DN83" s="13">
        <f t="array" ref="DN83">INDEX(DM:DM,MIN(IF(ISNUMBER(DM83:DM279),ROW(DM83:DM279),"")))</f>
        <v>4.2307692307692317</v>
      </c>
      <c r="DO83" s="13">
        <f>IF('Données projet'!$A$166&gt;35,DO82+DN83-DW82,IF(A83&lt;'Données projet'!$A$166,$DL$205^A83,IF(A83='Données projet'!$A$166,'Données projet'!$B$166,DO82+DN83-DW82)))</f>
        <v>261.53846153846138</v>
      </c>
      <c r="DP83" s="18">
        <f>DO83*VLOOKUP('Données projet'!$B$14,Paramètres!$A$1:$I$89,3,0)*VLOOKUP('Données projet'!$B$14,Paramètres!$A$1:$I$89,5,0)</f>
        <v>175.43999999999991</v>
      </c>
      <c r="DQ83" s="14">
        <f t="shared" si="97"/>
        <v>44.306160083661858</v>
      </c>
      <c r="DR83" s="22">
        <f t="shared" si="70"/>
        <v>382.72456214571093</v>
      </c>
      <c r="DS83" s="62">
        <f t="shared" si="71"/>
        <v>676.05789547904419</v>
      </c>
      <c r="DT83" s="62">
        <f ca="1">AVERAGE(OFFSET($DS$3,0,0,'Données projet'!$E$14+1,1))-AVERAGE(OFFSET($H$3,0,0,'Données projet'!$E$14+1,1))</f>
        <v>290.46086333591074</v>
      </c>
      <c r="DU83" s="62">
        <f t="shared" si="98"/>
        <v>236.8495901994267</v>
      </c>
      <c r="DV83" s="16">
        <f>IF(ISNA(VLOOKUP(A83,'Données projet'!$A$165:$I$185,3,0)),0,VLOOKUP(A83,'Données projet'!$A$165:$I$185,3,0))</f>
        <v>7</v>
      </c>
      <c r="DW83" s="16">
        <f>IF(ISNA(VLOOKUP(A83,'Données projet'!$A$165:$I$185,4,0)),0,VLOOKUP(A83,'Données projet'!$A$165:$I$185,4,0))</f>
        <v>23.717948717948715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-1.1368683772161603E-13</v>
      </c>
      <c r="EK83" s="18">
        <f>EJ83*VLOOKUP('Données projet'!$B$15,Paramètres!$A$1:$I$89,3,0)*VLOOKUP('Données projet'!$B$15,Paramètres!$A$1:$I$89,5,0)</f>
        <v>-9.2222762759774927E-14</v>
      </c>
      <c r="EL83" s="14" t="e">
        <f t="shared" si="99"/>
        <v>#NUM!</v>
      </c>
      <c r="EM83" s="22" t="e">
        <f t="shared" si="73"/>
        <v>#NUM!</v>
      </c>
      <c r="EN83" s="62" t="e">
        <f t="shared" si="74"/>
        <v>#NUM!</v>
      </c>
      <c r="EO83" s="62">
        <f ca="1">AVERAGE(OFFSET($EN$3,0,0,'Données projet'!$E$15+1,1))-AVERAGE(OFFSET($H$3,0,0,'Données projet'!$E$15+1,1))</f>
        <v>256.19915261735281</v>
      </c>
      <c r="EP83" s="62">
        <f t="shared" si="100"/>
        <v>297.47246687305056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12</v>
      </c>
      <c r="N84" s="14">
        <f>IF('Données projet'!$A$36&gt;35,N83+M84-V83,IF(A84&lt;'Données projet'!$A$36,$K$205^A84,IF(A84='Données projet'!$A$36,'Données projet'!$B$36,N83+M84-V83)))</f>
        <v>383.99999999999966</v>
      </c>
      <c r="O84" s="14">
        <f>N84*VLOOKUP('Données projet'!$B$9,Paramètres!$A$1:$I$89,3,0)*VLOOKUP('Données projet'!$B$9,Paramètres!$A$1:$I$89,5,0)</f>
        <v>329.47199999999975</v>
      </c>
      <c r="P84" s="14">
        <f t="shared" si="87"/>
        <v>77.320829101031876</v>
      </c>
      <c r="Q84" s="22">
        <f t="shared" si="54"/>
        <v>708.49751068429669</v>
      </c>
      <c r="R84" s="62">
        <f t="shared" si="55"/>
        <v>1001.8308440176299</v>
      </c>
      <c r="S84" s="62">
        <f ca="1">AVERAGE(OFFSET($R$3,0,0,'Données projet'!$E$9+1,1))-AVERAGE(OFFSET($H$3,0,0,'Données projet'!$E$9+1,1))</f>
        <v>446.27304516866047</v>
      </c>
      <c r="T84" s="62">
        <f t="shared" si="88"/>
        <v>230.82970731138215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-3.4106051316484809E-13</v>
      </c>
      <c r="AJ84" s="14">
        <f>AI84*VLOOKUP('Données projet'!$B$10,Paramètres!$A$1:$I$89,3,0)*VLOOKUP('Données projet'!$B$10,Paramètres!$A$1:$I$89,5,0)</f>
        <v>-2.7134774427395314E-13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427.78067187784063</v>
      </c>
      <c r="AO84" s="62">
        <f t="shared" si="90"/>
        <v>464.22892523825118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1.7053025658242404E-13</v>
      </c>
      <c r="BE84" s="14">
        <f>BD84*VLOOKUP('Données projet'!$B$11,Paramètres!$A$1:$I$89,3,0)*VLOOKUP('Données projet'!$B$11,Paramètres!$A$1:$I$89,5,0)</f>
        <v>1.3301360013429075E-13</v>
      </c>
      <c r="BF84" s="14">
        <f t="shared" si="91"/>
        <v>1.9329766731057041E-12</v>
      </c>
      <c r="BG84" s="22">
        <f t="shared" si="61"/>
        <v>3.5982663925596575E-12</v>
      </c>
      <c r="BH84" s="62">
        <f t="shared" si="62"/>
        <v>293.3333333333369</v>
      </c>
      <c r="BI84" s="62">
        <f ca="1">AVERAGE(OFFSET($BH$3,0,0,'Données projet'!$E$11+1,1))-AVERAGE(OFFSET($H$3,0,0,'Données projet'!$E$11+1,1))</f>
        <v>312.09994042858187</v>
      </c>
      <c r="BJ84" s="62">
        <f t="shared" si="92"/>
        <v>283.48738729114024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-2.2737367544323206E-13</v>
      </c>
      <c r="BZ84" s="14">
        <f>BY84*VLOOKUP('Données projet'!$B$12,Paramètres!$A$1:$I$89,3,0)*VLOOKUP('Données projet'!$B$12,Paramètres!$A$1:$I$89,5,0)</f>
        <v>-1.8089849618263545E-13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370.79299728190904</v>
      </c>
      <c r="CE84" s="62">
        <f t="shared" si="94"/>
        <v>404.95703400805775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3.7179487179487181</v>
      </c>
      <c r="CT84" s="13">
        <f>IF('Données projet'!$A$140&gt;35,CT83+CS84-DB83,IF(A84&lt;'Données projet'!$A$140,$CQ$205^A84,IF(A84='Données projet'!$A$140,'Données projet'!$B$140,CT83+CS84-DB83)))</f>
        <v>197.30769230769224</v>
      </c>
      <c r="CU84" s="18">
        <f>CT84*VLOOKUP('Données projet'!$B$13,Paramètres!$A$1:$I$89,3,0)*VLOOKUP('Données projet'!$B$13,Paramètres!$A$1:$I$89,5,0)</f>
        <v>187.75799999999992</v>
      </c>
      <c r="CV84" s="14">
        <f t="shared" si="95"/>
        <v>47.043936570096889</v>
      </c>
      <c r="CW84" s="22">
        <f t="shared" si="67"/>
        <v>408.94670619291861</v>
      </c>
      <c r="CX84" s="62">
        <f t="shared" si="68"/>
        <v>702.28003952625193</v>
      </c>
      <c r="CY84" s="62">
        <f ca="1">AVERAGE(OFFSET($CX$3,0,0,'Données projet'!$E$13+1,1))-AVERAGE(OFFSET($H$3,0,0,'Données projet'!$E$13+1,1))</f>
        <v>351.34897243264044</v>
      </c>
      <c r="CZ84" s="62">
        <f t="shared" si="96"/>
        <v>268.39685058071603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3.8461538461538454</v>
      </c>
      <c r="DO84" s="13">
        <f>IF('Données projet'!$A$166&gt;35,DO83+DN84-DW83,IF(A84&lt;'Données projet'!$A$166,$DL$205^A84,IF(A84='Données projet'!$A$166,'Données projet'!$B$166,DO83+DN84-DW83)))</f>
        <v>241.66666666666652</v>
      </c>
      <c r="DP84" s="18">
        <f>DO84*VLOOKUP('Données projet'!$B$14,Paramètres!$A$1:$I$89,3,0)*VLOOKUP('Données projet'!$B$14,Paramètres!$A$1:$I$89,5,0)</f>
        <v>162.1099999999999</v>
      </c>
      <c r="DQ84" s="14">
        <f t="shared" si="97"/>
        <v>41.318068304799873</v>
      </c>
      <c r="DR84" s="22">
        <f t="shared" si="70"/>
        <v>354.30388563085961</v>
      </c>
      <c r="DS84" s="62">
        <f t="shared" si="71"/>
        <v>647.63721896419293</v>
      </c>
      <c r="DT84" s="62">
        <f ca="1">AVERAGE(OFFSET($DS$3,0,0,'Données projet'!$E$14+1,1))-AVERAGE(OFFSET($H$3,0,0,'Données projet'!$E$14+1,1))</f>
        <v>290.46086333591074</v>
      </c>
      <c r="DU84" s="62">
        <f t="shared" si="98"/>
        <v>236.8495901994267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-1.1368683772161603E-13</v>
      </c>
      <c r="EK84" s="18">
        <f>EJ84*VLOOKUP('Données projet'!$B$15,Paramètres!$A$1:$I$89,3,0)*VLOOKUP('Données projet'!$B$15,Paramètres!$A$1:$I$89,5,0)</f>
        <v>-9.2222762759774927E-14</v>
      </c>
      <c r="EL84" s="14" t="e">
        <f t="shared" si="99"/>
        <v>#NUM!</v>
      </c>
      <c r="EM84" s="22" t="e">
        <f t="shared" si="73"/>
        <v>#NUM!</v>
      </c>
      <c r="EN84" s="62" t="e">
        <f t="shared" si="74"/>
        <v>#NUM!</v>
      </c>
      <c r="EO84" s="62">
        <f ca="1">AVERAGE(OFFSET($EN$3,0,0,'Données projet'!$E$15+1,1))-AVERAGE(OFFSET($H$3,0,0,'Données projet'!$E$15+1,1))</f>
        <v>256.19915261735281</v>
      </c>
      <c r="EP84" s="62">
        <f t="shared" si="100"/>
        <v>297.47246687305056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12</v>
      </c>
      <c r="N85" s="14">
        <f>IF('Données projet'!$A$36&gt;35,N84+M85-V84,IF(A85&lt;'Données projet'!$A$36,$K$205^A85,IF(A85='Données projet'!$A$36,'Données projet'!$B$36,N84+M85-V84)))</f>
        <v>395.99999999999966</v>
      </c>
      <c r="O85" s="14">
        <f>N85*VLOOKUP('Données projet'!$B$9,Paramètres!$A$1:$I$89,3,0)*VLOOKUP('Données projet'!$B$9,Paramètres!$A$1:$I$89,5,0)</f>
        <v>339.76799999999974</v>
      </c>
      <c r="P85" s="14">
        <f t="shared" si="87"/>
        <v>79.452011848891914</v>
      </c>
      <c r="Q85" s="22">
        <f t="shared" si="54"/>
        <v>730.14152063681968</v>
      </c>
      <c r="R85" s="62">
        <f t="shared" si="55"/>
        <v>1023.4748539701529</v>
      </c>
      <c r="S85" s="62">
        <f ca="1">AVERAGE(OFFSET($R$3,0,0,'Données projet'!$E$9+1,1))-AVERAGE(OFFSET($H$3,0,0,'Données projet'!$E$9+1,1))</f>
        <v>446.27304516866047</v>
      </c>
      <c r="T85" s="62">
        <f t="shared" si="88"/>
        <v>230.82970731138215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-3.4106051316484809E-13</v>
      </c>
      <c r="AJ85" s="14">
        <f>AI85*VLOOKUP('Données projet'!$B$10,Paramètres!$A$1:$I$89,3,0)*VLOOKUP('Données projet'!$B$10,Paramètres!$A$1:$I$89,5,0)</f>
        <v>-2.7134774427395314E-13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427.78067187784063</v>
      </c>
      <c r="AO85" s="62">
        <f t="shared" si="90"/>
        <v>464.22892523825118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1.7053025658242404E-13</v>
      </c>
      <c r="BE85" s="14">
        <f>BD85*VLOOKUP('Données projet'!$B$11,Paramètres!$A$1:$I$89,3,0)*VLOOKUP('Données projet'!$B$11,Paramètres!$A$1:$I$89,5,0)</f>
        <v>1.3301360013429075E-13</v>
      </c>
      <c r="BF85" s="14">
        <f t="shared" si="91"/>
        <v>1.9329766731057041E-12</v>
      </c>
      <c r="BG85" s="22">
        <f t="shared" si="61"/>
        <v>3.5982663925596575E-12</v>
      </c>
      <c r="BH85" s="62">
        <f t="shared" si="62"/>
        <v>293.3333333333369</v>
      </c>
      <c r="BI85" s="62">
        <f ca="1">AVERAGE(OFFSET($BH$3,0,0,'Données projet'!$E$11+1,1))-AVERAGE(OFFSET($H$3,0,0,'Données projet'!$E$11+1,1))</f>
        <v>312.09994042858187</v>
      </c>
      <c r="BJ85" s="62">
        <f t="shared" si="92"/>
        <v>283.48738729114024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-2.2737367544323206E-13</v>
      </c>
      <c r="BZ85" s="14">
        <f>BY85*VLOOKUP('Données projet'!$B$12,Paramètres!$A$1:$I$89,3,0)*VLOOKUP('Données projet'!$B$12,Paramètres!$A$1:$I$89,5,0)</f>
        <v>-1.8089849618263545E-13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370.79299728190904</v>
      </c>
      <c r="CE85" s="62">
        <f t="shared" si="94"/>
        <v>404.95703400805775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3.7179487179487181</v>
      </c>
      <c r="CT85" s="13">
        <f>IF('Données projet'!$A$140&gt;35,CT84+CS85-DB84,IF(A85&lt;'Données projet'!$A$140,$CQ$205^A85,IF(A85='Données projet'!$A$140,'Données projet'!$B$140,CT84+CS85-DB84)))</f>
        <v>201.02564102564097</v>
      </c>
      <c r="CU85" s="18">
        <f>CT85*VLOOKUP('Données projet'!$B$13,Paramètres!$A$1:$I$89,3,0)*VLOOKUP('Données projet'!$B$13,Paramètres!$A$1:$I$89,5,0)</f>
        <v>191.29599999999994</v>
      </c>
      <c r="CV85" s="14">
        <f t="shared" si="95"/>
        <v>47.826366590958408</v>
      </c>
      <c r="CW85" s="22">
        <f t="shared" si="67"/>
        <v>416.47145514591904</v>
      </c>
      <c r="CX85" s="62">
        <f t="shared" si="68"/>
        <v>709.80478847925235</v>
      </c>
      <c r="CY85" s="62">
        <f ca="1">AVERAGE(OFFSET($CX$3,0,0,'Données projet'!$E$13+1,1))-AVERAGE(OFFSET($H$3,0,0,'Données projet'!$E$13+1,1))</f>
        <v>351.34897243264044</v>
      </c>
      <c r="CZ85" s="62">
        <f t="shared" si="96"/>
        <v>268.39685058071603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3.8461538461538454</v>
      </c>
      <c r="DO85" s="13">
        <f>IF('Données projet'!$A$166&gt;35,DO84+DN85-DW84,IF(A85&lt;'Données projet'!$A$166,$DL$205^A85,IF(A85='Données projet'!$A$166,'Données projet'!$B$166,DO84+DN85-DW84)))</f>
        <v>245.51282051282035</v>
      </c>
      <c r="DP85" s="18">
        <f>DO85*VLOOKUP('Données projet'!$B$14,Paramètres!$A$1:$I$89,3,0)*VLOOKUP('Données projet'!$B$14,Paramètres!$A$1:$I$89,5,0)</f>
        <v>164.68999999999988</v>
      </c>
      <c r="DQ85" s="14">
        <f t="shared" si="97"/>
        <v>41.898572717556682</v>
      </c>
      <c r="DR85" s="22">
        <f t="shared" si="70"/>
        <v>359.80843081641098</v>
      </c>
      <c r="DS85" s="62">
        <f t="shared" si="71"/>
        <v>653.14176414974429</v>
      </c>
      <c r="DT85" s="62">
        <f ca="1">AVERAGE(OFFSET($DS$3,0,0,'Données projet'!$E$14+1,1))-AVERAGE(OFFSET($H$3,0,0,'Données projet'!$E$14+1,1))</f>
        <v>290.46086333591074</v>
      </c>
      <c r="DU85" s="62">
        <f t="shared" si="98"/>
        <v>236.8495901994267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-1.1368683772161603E-13</v>
      </c>
      <c r="EK85" s="18">
        <f>EJ85*VLOOKUP('Données projet'!$B$15,Paramètres!$A$1:$I$89,3,0)*VLOOKUP('Données projet'!$B$15,Paramètres!$A$1:$I$89,5,0)</f>
        <v>-9.2222762759774927E-14</v>
      </c>
      <c r="EL85" s="14" t="e">
        <f t="shared" si="99"/>
        <v>#NUM!</v>
      </c>
      <c r="EM85" s="22" t="e">
        <f t="shared" si="73"/>
        <v>#NUM!</v>
      </c>
      <c r="EN85" s="62" t="e">
        <f t="shared" si="74"/>
        <v>#NUM!</v>
      </c>
      <c r="EO85" s="62">
        <f ca="1">AVERAGE(OFFSET($EN$3,0,0,'Données projet'!$E$15+1,1))-AVERAGE(OFFSET($H$3,0,0,'Données projet'!$E$15+1,1))</f>
        <v>256.19915261735281</v>
      </c>
      <c r="EP85" s="62">
        <f t="shared" si="100"/>
        <v>297.47246687305056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12</v>
      </c>
      <c r="N86" s="14">
        <f>IF('Données projet'!$A$36&gt;35,N85+M86-V85,IF(A86&lt;'Données projet'!$A$36,$K$205^A86,IF(A86='Données projet'!$A$36,'Données projet'!$B$36,N85+M86-V85)))</f>
        <v>407.99999999999966</v>
      </c>
      <c r="O86" s="14">
        <f>N86*VLOOKUP('Données projet'!$B$9,Paramètres!$A$1:$I$89,3,0)*VLOOKUP('Données projet'!$B$9,Paramètres!$A$1:$I$89,5,0)</f>
        <v>350.06399999999974</v>
      </c>
      <c r="P86" s="14">
        <f t="shared" si="87"/>
        <v>81.575689362490451</v>
      </c>
      <c r="Q86" s="22">
        <f t="shared" si="54"/>
        <v>751.77245897300372</v>
      </c>
      <c r="R86" s="62">
        <f t="shared" si="55"/>
        <v>1045.105792306337</v>
      </c>
      <c r="S86" s="62">
        <f ca="1">AVERAGE(OFFSET($R$3,0,0,'Données projet'!$E$9+1,1))-AVERAGE(OFFSET($H$3,0,0,'Données projet'!$E$9+1,1))</f>
        <v>446.27304516866047</v>
      </c>
      <c r="T86" s="62">
        <f t="shared" si="88"/>
        <v>230.82970731138215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-3.4106051316484809E-13</v>
      </c>
      <c r="AJ86" s="14">
        <f>AI86*VLOOKUP('Données projet'!$B$10,Paramètres!$A$1:$I$89,3,0)*VLOOKUP('Données projet'!$B$10,Paramètres!$A$1:$I$89,5,0)</f>
        <v>-2.7134774427395314E-13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427.78067187784063</v>
      </c>
      <c r="AO86" s="62">
        <f t="shared" si="90"/>
        <v>464.22892523825118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1.7053025658242404E-13</v>
      </c>
      <c r="BE86" s="14">
        <f>BD86*VLOOKUP('Données projet'!$B$11,Paramètres!$A$1:$I$89,3,0)*VLOOKUP('Données projet'!$B$11,Paramètres!$A$1:$I$89,5,0)</f>
        <v>1.3301360013429075E-13</v>
      </c>
      <c r="BF86" s="14">
        <f t="shared" si="91"/>
        <v>1.9329766731057041E-12</v>
      </c>
      <c r="BG86" s="22">
        <f t="shared" si="61"/>
        <v>3.5982663925596575E-12</v>
      </c>
      <c r="BH86" s="62">
        <f t="shared" si="62"/>
        <v>293.3333333333369</v>
      </c>
      <c r="BI86" s="62">
        <f ca="1">AVERAGE(OFFSET($BH$3,0,0,'Données projet'!$E$11+1,1))-AVERAGE(OFFSET($H$3,0,0,'Données projet'!$E$11+1,1))</f>
        <v>312.09994042858187</v>
      </c>
      <c r="BJ86" s="62">
        <f t="shared" si="92"/>
        <v>283.48738729114024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-2.2737367544323206E-13</v>
      </c>
      <c r="BZ86" s="14">
        <f>BY86*VLOOKUP('Données projet'!$B$12,Paramètres!$A$1:$I$89,3,0)*VLOOKUP('Données projet'!$B$12,Paramètres!$A$1:$I$89,5,0)</f>
        <v>-1.8089849618263545E-13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370.79299728190904</v>
      </c>
      <c r="CE86" s="62">
        <f t="shared" si="94"/>
        <v>404.95703400805775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3.7179487179487181</v>
      </c>
      <c r="CT86" s="13">
        <f>IF('Données projet'!$A$140&gt;35,CT85+CS86-DB85,IF(A86&lt;'Données projet'!$A$140,$CQ$205^A86,IF(A86='Données projet'!$A$140,'Données projet'!$B$140,CT85+CS86-DB85)))</f>
        <v>204.74358974358969</v>
      </c>
      <c r="CU86" s="18">
        <f>CT86*VLOOKUP('Données projet'!$B$13,Paramètres!$A$1:$I$89,3,0)*VLOOKUP('Données projet'!$B$13,Paramètres!$A$1:$I$89,5,0)</f>
        <v>194.83399999999997</v>
      </c>
      <c r="CV86" s="14">
        <f t="shared" si="95"/>
        <v>48.607113902081203</v>
      </c>
      <c r="CW86" s="22">
        <f t="shared" si="67"/>
        <v>423.99327337945806</v>
      </c>
      <c r="CX86" s="62">
        <f t="shared" si="68"/>
        <v>717.32660671279132</v>
      </c>
      <c r="CY86" s="62">
        <f ca="1">AVERAGE(OFFSET($CX$3,0,0,'Données projet'!$E$13+1,1))-AVERAGE(OFFSET($H$3,0,0,'Données projet'!$E$13+1,1))</f>
        <v>351.34897243264044</v>
      </c>
      <c r="CZ86" s="62">
        <f t="shared" si="96"/>
        <v>268.39685058071603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3.8461538461538454</v>
      </c>
      <c r="DO86" s="13">
        <f>IF('Données projet'!$A$166&gt;35,DO85+DN86-DW85,IF(A86&lt;'Données projet'!$A$166,$DL$205^A86,IF(A86='Données projet'!$A$166,'Données projet'!$B$166,DO85+DN86-DW85)))</f>
        <v>249.35897435897419</v>
      </c>
      <c r="DP86" s="18">
        <f>DO86*VLOOKUP('Données projet'!$B$14,Paramètres!$A$1:$I$89,3,0)*VLOOKUP('Données projet'!$B$14,Paramètres!$A$1:$I$89,5,0)</f>
        <v>167.2699999999999</v>
      </c>
      <c r="DQ86" s="14">
        <f t="shared" si="97"/>
        <v>42.478019500080805</v>
      </c>
      <c r="DR86" s="22">
        <f t="shared" si="70"/>
        <v>365.31113396264055</v>
      </c>
      <c r="DS86" s="62">
        <f t="shared" si="71"/>
        <v>658.64446729597387</v>
      </c>
      <c r="DT86" s="62">
        <f ca="1">AVERAGE(OFFSET($DS$3,0,0,'Données projet'!$E$14+1,1))-AVERAGE(OFFSET($H$3,0,0,'Données projet'!$E$14+1,1))</f>
        <v>290.46086333591074</v>
      </c>
      <c r="DU86" s="62">
        <f t="shared" si="98"/>
        <v>236.8495901994267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-1.1368683772161603E-13</v>
      </c>
      <c r="EK86" s="18">
        <f>EJ86*VLOOKUP('Données projet'!$B$15,Paramètres!$A$1:$I$89,3,0)*VLOOKUP('Données projet'!$B$15,Paramètres!$A$1:$I$89,5,0)</f>
        <v>-9.2222762759774927E-14</v>
      </c>
      <c r="EL86" s="14" t="e">
        <f t="shared" si="99"/>
        <v>#NUM!</v>
      </c>
      <c r="EM86" s="22" t="e">
        <f t="shared" si="73"/>
        <v>#NUM!</v>
      </c>
      <c r="EN86" s="62" t="e">
        <f t="shared" si="74"/>
        <v>#NUM!</v>
      </c>
      <c r="EO86" s="62">
        <f ca="1">AVERAGE(OFFSET($EN$3,0,0,'Données projet'!$E$15+1,1))-AVERAGE(OFFSET($H$3,0,0,'Données projet'!$E$15+1,1))</f>
        <v>256.19915261735281</v>
      </c>
      <c r="EP86" s="62">
        <f t="shared" si="100"/>
        <v>297.47246687305056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420</v>
      </c>
      <c r="L87" s="13">
        <f>VLOOKUP(A87,'Données projet'!$A$35:$I$55,9,0)</f>
        <v>12</v>
      </c>
      <c r="M87" s="13">
        <f t="array" ref="M87">INDEX(L:L,MIN(IF(ISNUMBER(L87:L283),ROW(L87:L283),"")))</f>
        <v>12</v>
      </c>
      <c r="N87" s="14">
        <f>IF('Données projet'!$A$36&gt;35,N86+M87-V86,IF(A87&lt;'Données projet'!$A$36,$K$205^A87,IF(A87='Données projet'!$A$36,'Données projet'!$B$36,N86+M87-V86)))</f>
        <v>419.99999999999966</v>
      </c>
      <c r="O87" s="14">
        <f>N87*VLOOKUP('Données projet'!$B$9,Paramètres!$A$1:$I$89,3,0)*VLOOKUP('Données projet'!$B$9,Paramètres!$A$1:$I$89,5,0)</f>
        <v>360.35999999999973</v>
      </c>
      <c r="P87" s="14">
        <f t="shared" si="87"/>
        <v>83.692107728969532</v>
      </c>
      <c r="Q87" s="22">
        <f t="shared" si="54"/>
        <v>773.39075429462139</v>
      </c>
      <c r="R87" s="62">
        <f t="shared" si="55"/>
        <v>1066.7240876279548</v>
      </c>
      <c r="S87" s="62">
        <f ca="1">AVERAGE(OFFSET($R$3,0,0,'Données projet'!$E$9+1,1))-AVERAGE(OFFSET($H$3,0,0,'Données projet'!$E$9+1,1))</f>
        <v>446.27304516866047</v>
      </c>
      <c r="T87" s="62">
        <f t="shared" si="88"/>
        <v>230.82970731138215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-3.4106051316484809E-13</v>
      </c>
      <c r="AJ87" s="14">
        <f>AI87*VLOOKUP('Données projet'!$B$10,Paramètres!$A$1:$I$89,3,0)*VLOOKUP('Données projet'!$B$10,Paramètres!$A$1:$I$89,5,0)</f>
        <v>-2.7134774427395314E-13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427.78067187784063</v>
      </c>
      <c r="AO87" s="62">
        <f t="shared" si="90"/>
        <v>464.22892523825118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1.7053025658242404E-13</v>
      </c>
      <c r="BE87" s="14">
        <f>BD87*VLOOKUP('Données projet'!$B$11,Paramètres!$A$1:$I$89,3,0)*VLOOKUP('Données projet'!$B$11,Paramètres!$A$1:$I$89,5,0)</f>
        <v>1.3301360013429075E-13</v>
      </c>
      <c r="BF87" s="14">
        <f t="shared" si="91"/>
        <v>1.9329766731057041E-12</v>
      </c>
      <c r="BG87" s="22">
        <f t="shared" si="61"/>
        <v>3.5982663925596575E-12</v>
      </c>
      <c r="BH87" s="62">
        <f t="shared" si="62"/>
        <v>293.3333333333369</v>
      </c>
      <c r="BI87" s="62">
        <f ca="1">AVERAGE(OFFSET($BH$3,0,0,'Données projet'!$E$11+1,1))-AVERAGE(OFFSET($H$3,0,0,'Données projet'!$E$11+1,1))</f>
        <v>312.09994042858187</v>
      </c>
      <c r="BJ87" s="62">
        <f t="shared" si="92"/>
        <v>283.48738729114024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-2.2737367544323206E-13</v>
      </c>
      <c r="BZ87" s="14">
        <f>BY87*VLOOKUP('Données projet'!$B$12,Paramètres!$A$1:$I$89,3,0)*VLOOKUP('Données projet'!$B$12,Paramètres!$A$1:$I$89,5,0)</f>
        <v>-1.8089849618263545E-13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370.79299728190904</v>
      </c>
      <c r="CE87" s="62">
        <f t="shared" si="94"/>
        <v>404.95703400805775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3.7179487179487181</v>
      </c>
      <c r="CT87" s="13">
        <f>IF('Données projet'!$A$140&gt;35,CT86+CS87-DB86,IF(A87&lt;'Données projet'!$A$140,$CQ$205^A87,IF(A87='Données projet'!$A$140,'Données projet'!$B$140,CT86+CS87-DB86)))</f>
        <v>208.46153846153842</v>
      </c>
      <c r="CU87" s="18">
        <f>CT87*VLOOKUP('Données projet'!$B$13,Paramètres!$A$1:$I$89,3,0)*VLOOKUP('Données projet'!$B$13,Paramètres!$A$1:$I$89,5,0)</f>
        <v>198.37199999999999</v>
      </c>
      <c r="CV87" s="14">
        <f t="shared" si="95"/>
        <v>49.386212584388019</v>
      </c>
      <c r="CW87" s="22">
        <f t="shared" si="67"/>
        <v>431.51222025114242</v>
      </c>
      <c r="CX87" s="62">
        <f t="shared" si="68"/>
        <v>724.84555358447574</v>
      </c>
      <c r="CY87" s="62">
        <f ca="1">AVERAGE(OFFSET($CX$3,0,0,'Données projet'!$E$13+1,1))-AVERAGE(OFFSET($H$3,0,0,'Données projet'!$E$13+1,1))</f>
        <v>351.34897243264044</v>
      </c>
      <c r="CZ87" s="62">
        <f t="shared" si="96"/>
        <v>268.39685058071603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3.8461538461538454</v>
      </c>
      <c r="DO87" s="13">
        <f>IF('Données projet'!$A$166&gt;35,DO86+DN87-DW86,IF(A87&lt;'Données projet'!$A$166,$DL$205^A87,IF(A87='Données projet'!$A$166,'Données projet'!$B$166,DO86+DN87-DW86)))</f>
        <v>253.20512820512803</v>
      </c>
      <c r="DP87" s="18">
        <f>DO87*VLOOKUP('Données projet'!$B$14,Paramètres!$A$1:$I$89,3,0)*VLOOKUP('Données projet'!$B$14,Paramètres!$A$1:$I$89,5,0)</f>
        <v>169.84999999999988</v>
      </c>
      <c r="DQ87" s="14">
        <f t="shared" si="97"/>
        <v>43.056426849389865</v>
      </c>
      <c r="DR87" s="22">
        <f t="shared" si="70"/>
        <v>370.81202676268708</v>
      </c>
      <c r="DS87" s="62">
        <f t="shared" si="71"/>
        <v>664.14536009602034</v>
      </c>
      <c r="DT87" s="62">
        <f ca="1">AVERAGE(OFFSET($DS$3,0,0,'Données projet'!$E$14+1,1))-AVERAGE(OFFSET($H$3,0,0,'Données projet'!$E$14+1,1))</f>
        <v>290.46086333591074</v>
      </c>
      <c r="DU87" s="62">
        <f t="shared" si="98"/>
        <v>236.8495901994267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-1.1368683772161603E-13</v>
      </c>
      <c r="EK87" s="18">
        <f>EJ87*VLOOKUP('Données projet'!$B$15,Paramètres!$A$1:$I$89,3,0)*VLOOKUP('Données projet'!$B$15,Paramètres!$A$1:$I$89,5,0)</f>
        <v>-9.2222762759774927E-14</v>
      </c>
      <c r="EL87" s="14" t="e">
        <f t="shared" si="99"/>
        <v>#NUM!</v>
      </c>
      <c r="EM87" s="22" t="e">
        <f t="shared" si="73"/>
        <v>#NUM!</v>
      </c>
      <c r="EN87" s="62" t="e">
        <f t="shared" si="74"/>
        <v>#NUM!</v>
      </c>
      <c r="EO87" s="62">
        <f ca="1">AVERAGE(OFFSET($EN$3,0,0,'Données projet'!$E$15+1,1))-AVERAGE(OFFSET($H$3,0,0,'Données projet'!$E$15+1,1))</f>
        <v>256.19915261735281</v>
      </c>
      <c r="EP87" s="62">
        <f t="shared" si="100"/>
        <v>297.47246687305056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11.5</v>
      </c>
      <c r="N88" s="14">
        <f>IF('Données projet'!$A$36&gt;35,N87+M88-V87,IF(A88&lt;'Données projet'!$A$36,$K$205^A88,IF(A88='Données projet'!$A$36,'Données projet'!$B$36,N87+M88-V87)))</f>
        <v>431.49999999999966</v>
      </c>
      <c r="O88" s="14">
        <f>N88*VLOOKUP('Données projet'!$B$9,Paramètres!$A$1:$I$89,3,0)*VLOOKUP('Données projet'!$B$9,Paramètres!$A$1:$I$89,5,0)</f>
        <v>370.22699999999975</v>
      </c>
      <c r="P88" s="14">
        <f t="shared" si="87"/>
        <v>85.713744339137904</v>
      </c>
      <c r="Q88" s="22">
        <f t="shared" si="54"/>
        <v>794.09679639066474</v>
      </c>
      <c r="R88" s="62">
        <f t="shared" si="55"/>
        <v>1087.4301297239981</v>
      </c>
      <c r="S88" s="62">
        <f ca="1">AVERAGE(OFFSET($R$3,0,0,'Données projet'!$E$9+1,1))-AVERAGE(OFFSET($H$3,0,0,'Données projet'!$E$9+1,1))</f>
        <v>446.27304516866047</v>
      </c>
      <c r="T88" s="62">
        <f t="shared" si="88"/>
        <v>230.82970731138215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-3.4106051316484809E-13</v>
      </c>
      <c r="AJ88" s="14">
        <f>AI88*VLOOKUP('Données projet'!$B$10,Paramètres!$A$1:$I$89,3,0)*VLOOKUP('Données projet'!$B$10,Paramètres!$A$1:$I$89,5,0)</f>
        <v>-2.7134774427395314E-13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427.78067187784063</v>
      </c>
      <c r="AO88" s="62">
        <f t="shared" si="90"/>
        <v>464.22892523825118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1.7053025658242404E-13</v>
      </c>
      <c r="BE88" s="14">
        <f>BD88*VLOOKUP('Données projet'!$B$11,Paramètres!$A$1:$I$89,3,0)*VLOOKUP('Données projet'!$B$11,Paramètres!$A$1:$I$89,5,0)</f>
        <v>1.3301360013429075E-13</v>
      </c>
      <c r="BF88" s="14">
        <f t="shared" si="91"/>
        <v>1.9329766731057041E-12</v>
      </c>
      <c r="BG88" s="22">
        <f t="shared" si="61"/>
        <v>3.5982663925596575E-12</v>
      </c>
      <c r="BH88" s="62">
        <f t="shared" si="62"/>
        <v>293.3333333333369</v>
      </c>
      <c r="BI88" s="62">
        <f ca="1">AVERAGE(OFFSET($BH$3,0,0,'Données projet'!$E$11+1,1))-AVERAGE(OFFSET($H$3,0,0,'Données projet'!$E$11+1,1))</f>
        <v>312.09994042858187</v>
      </c>
      <c r="BJ88" s="62">
        <f t="shared" si="92"/>
        <v>283.48738729114024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-2.2737367544323206E-13</v>
      </c>
      <c r="BZ88" s="14">
        <f>BY88*VLOOKUP('Données projet'!$B$12,Paramètres!$A$1:$I$89,3,0)*VLOOKUP('Données projet'!$B$12,Paramètres!$A$1:$I$89,5,0)</f>
        <v>-1.8089849618263545E-13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370.79299728190904</v>
      </c>
      <c r="CE88" s="62">
        <f t="shared" si="94"/>
        <v>404.95703400805775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212.17948717948718</v>
      </c>
      <c r="CR88" s="13">
        <f>VLOOKUP(A88,'Données projet'!$A$139:$I$159,9,0)</f>
        <v>3.7179487179487181</v>
      </c>
      <c r="CS88" s="13">
        <f t="array" ref="CS88">INDEX(CR:CR,MIN(IF(ISNUMBER(CR88:CR284),ROW(CR88:CR284),"")))</f>
        <v>3.7179487179487181</v>
      </c>
      <c r="CT88" s="13">
        <f>IF('Données projet'!$A$140&gt;35,CT87+CS88-DB87,IF(A88&lt;'Données projet'!$A$140,$CQ$205^A88,IF(A88='Données projet'!$A$140,'Données projet'!$B$140,CT87+CS88-DB87)))</f>
        <v>212.17948717948715</v>
      </c>
      <c r="CU88" s="18">
        <f>CT88*VLOOKUP('Données projet'!$B$13,Paramètres!$A$1:$I$89,3,0)*VLOOKUP('Données projet'!$B$13,Paramètres!$A$1:$I$89,5,0)</f>
        <v>201.90999999999997</v>
      </c>
      <c r="CV88" s="14">
        <f t="shared" si="95"/>
        <v>50.163695433500841</v>
      </c>
      <c r="CW88" s="22">
        <f t="shared" si="67"/>
        <v>439.02835288001387</v>
      </c>
      <c r="CX88" s="62">
        <f t="shared" si="68"/>
        <v>732.36168621334718</v>
      </c>
      <c r="CY88" s="62">
        <f ca="1">AVERAGE(OFFSET($CX$3,0,0,'Données projet'!$E$13+1,1))-AVERAGE(OFFSET($H$3,0,0,'Données projet'!$E$13+1,1))</f>
        <v>351.34897243264044</v>
      </c>
      <c r="CZ88" s="62">
        <f t="shared" si="96"/>
        <v>268.39685058071603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257.05128205128204</v>
      </c>
      <c r="DM88" s="13">
        <f>VLOOKUP(A88,'Données projet'!$A$165:$I$185,9,0)</f>
        <v>3.8461538461538454</v>
      </c>
      <c r="DN88" s="13">
        <f t="array" ref="DN88">INDEX(DM:DM,MIN(IF(ISNUMBER(DM88:DM284),ROW(DM88:DM284),"")))</f>
        <v>3.8461538461538454</v>
      </c>
      <c r="DO88" s="13">
        <f>IF('Données projet'!$A$166&gt;35,DO87+DN88-DW87,IF(A88&lt;'Données projet'!$A$166,$DL$205^A88,IF(A88='Données projet'!$A$166,'Données projet'!$B$166,DO87+DN88-DW87)))</f>
        <v>257.05128205128187</v>
      </c>
      <c r="DP88" s="18">
        <f>DO88*VLOOKUP('Données projet'!$B$14,Paramètres!$A$1:$I$89,3,0)*VLOOKUP('Données projet'!$B$14,Paramètres!$A$1:$I$89,5,0)</f>
        <v>172.42999999999986</v>
      </c>
      <c r="DQ88" s="14">
        <f t="shared" si="97"/>
        <v>43.633812377956147</v>
      </c>
      <c r="DR88" s="22">
        <f t="shared" si="70"/>
        <v>376.31113989160673</v>
      </c>
      <c r="DS88" s="62">
        <f t="shared" si="71"/>
        <v>669.64447322494004</v>
      </c>
      <c r="DT88" s="62">
        <f ca="1">AVERAGE(OFFSET($DS$3,0,0,'Données projet'!$E$14+1,1))-AVERAGE(OFFSET($H$3,0,0,'Données projet'!$E$14+1,1))</f>
        <v>290.46086333591074</v>
      </c>
      <c r="DU88" s="62">
        <f t="shared" si="98"/>
        <v>236.8495901994267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-1.1368683772161603E-13</v>
      </c>
      <c r="EK88" s="18">
        <f>EJ88*VLOOKUP('Données projet'!$B$15,Paramètres!$A$1:$I$89,3,0)*VLOOKUP('Données projet'!$B$15,Paramètres!$A$1:$I$89,5,0)</f>
        <v>-9.2222762759774927E-14</v>
      </c>
      <c r="EL88" s="14" t="e">
        <f t="shared" si="99"/>
        <v>#NUM!</v>
      </c>
      <c r="EM88" s="22" t="e">
        <f t="shared" si="73"/>
        <v>#NUM!</v>
      </c>
      <c r="EN88" s="62" t="e">
        <f t="shared" si="74"/>
        <v>#NUM!</v>
      </c>
      <c r="EO88" s="62">
        <f ca="1">AVERAGE(OFFSET($EN$3,0,0,'Données projet'!$E$15+1,1))-AVERAGE(OFFSET($H$3,0,0,'Données projet'!$E$15+1,1))</f>
        <v>256.19915261735281</v>
      </c>
      <c r="EP88" s="62">
        <f t="shared" si="100"/>
        <v>297.47246687305056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11.5</v>
      </c>
      <c r="N89" s="14">
        <f>IF('Données projet'!$A$36&gt;35,N88+M89-V88,IF(A89&lt;'Données projet'!$A$36,$K$205^A89,IF(A89='Données projet'!$A$36,'Données projet'!$B$36,N88+M89-V88)))</f>
        <v>442.99999999999966</v>
      </c>
      <c r="O89" s="14">
        <f>N89*VLOOKUP('Données projet'!$B$9,Paramètres!$A$1:$I$89,3,0)*VLOOKUP('Données projet'!$B$9,Paramètres!$A$1:$I$89,5,0)</f>
        <v>380.09399999999977</v>
      </c>
      <c r="P89" s="14">
        <f t="shared" si="87"/>
        <v>87.729118359210162</v>
      </c>
      <c r="Q89" s="22">
        <f t="shared" si="54"/>
        <v>814.79193114229065</v>
      </c>
      <c r="R89" s="62">
        <f t="shared" si="55"/>
        <v>1108.1252644756239</v>
      </c>
      <c r="S89" s="62">
        <f ca="1">AVERAGE(OFFSET($R$3,0,0,'Données projet'!$E$9+1,1))-AVERAGE(OFFSET($H$3,0,0,'Données projet'!$E$9+1,1))</f>
        <v>446.27304516866047</v>
      </c>
      <c r="T89" s="62">
        <f t="shared" si="88"/>
        <v>230.82970731138215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-3.4106051316484809E-13</v>
      </c>
      <c r="AJ89" s="14">
        <f>AI89*VLOOKUP('Données projet'!$B$10,Paramètres!$A$1:$I$89,3,0)*VLOOKUP('Données projet'!$B$10,Paramètres!$A$1:$I$89,5,0)</f>
        <v>-2.7134774427395314E-13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427.78067187784063</v>
      </c>
      <c r="AO89" s="62">
        <f t="shared" si="90"/>
        <v>464.22892523825118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1.7053025658242404E-13</v>
      </c>
      <c r="BE89" s="14">
        <f>BD89*VLOOKUP('Données projet'!$B$11,Paramètres!$A$1:$I$89,3,0)*VLOOKUP('Données projet'!$B$11,Paramètres!$A$1:$I$89,5,0)</f>
        <v>1.3301360013429075E-13</v>
      </c>
      <c r="BF89" s="14">
        <f t="shared" si="91"/>
        <v>1.9329766731057041E-12</v>
      </c>
      <c r="BG89" s="22">
        <f t="shared" si="61"/>
        <v>3.5982663925596575E-12</v>
      </c>
      <c r="BH89" s="62">
        <f t="shared" si="62"/>
        <v>293.3333333333369</v>
      </c>
      <c r="BI89" s="62">
        <f ca="1">AVERAGE(OFFSET($BH$3,0,0,'Données projet'!$E$11+1,1))-AVERAGE(OFFSET($H$3,0,0,'Données projet'!$E$11+1,1))</f>
        <v>312.09994042858187</v>
      </c>
      <c r="BJ89" s="62">
        <f t="shared" si="92"/>
        <v>283.48738729114024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-2.2737367544323206E-13</v>
      </c>
      <c r="BZ89" s="14">
        <f>BY89*VLOOKUP('Données projet'!$B$12,Paramètres!$A$1:$I$89,3,0)*VLOOKUP('Données projet'!$B$12,Paramètres!$A$1:$I$89,5,0)</f>
        <v>-1.8089849618263545E-13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370.79299728190904</v>
      </c>
      <c r="CE89" s="62">
        <f t="shared" si="94"/>
        <v>404.95703400805775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3.5897435897435854</v>
      </c>
      <c r="CT89" s="13">
        <f>IF('Données projet'!$A$140&gt;35,CT88+CS89-DB88,IF(A89&lt;'Données projet'!$A$140,$CQ$205^A89,IF(A89='Données projet'!$A$140,'Données projet'!$B$140,CT88+CS89-DB88)))</f>
        <v>215.76923076923075</v>
      </c>
      <c r="CU89" s="18">
        <f>CT89*VLOOKUP('Données projet'!$B$13,Paramètres!$A$1:$I$89,3,0)*VLOOKUP('Données projet'!$B$13,Paramètres!$A$1:$I$89,5,0)</f>
        <v>205.32599999999996</v>
      </c>
      <c r="CV89" s="14">
        <f t="shared" si="95"/>
        <v>50.912864943643164</v>
      </c>
      <c r="CW89" s="22">
        <f t="shared" si="67"/>
        <v>446.28268977684507</v>
      </c>
      <c r="CX89" s="62">
        <f t="shared" si="68"/>
        <v>739.61602311017839</v>
      </c>
      <c r="CY89" s="62">
        <f ca="1">AVERAGE(OFFSET($CX$3,0,0,'Données projet'!$E$13+1,1))-AVERAGE(OFFSET($H$3,0,0,'Données projet'!$E$13+1,1))</f>
        <v>351.34897243264044</v>
      </c>
      <c r="CZ89" s="62">
        <f t="shared" si="96"/>
        <v>268.39685058071603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3.5897435897435912</v>
      </c>
      <c r="DO89" s="13">
        <f>IF('Données projet'!$A$166&gt;35,DO88+DN89-DW88,IF(A89&lt;'Données projet'!$A$166,$DL$205^A89,IF(A89='Données projet'!$A$166,'Données projet'!$B$166,DO88+DN89-DW88)))</f>
        <v>260.64102564102546</v>
      </c>
      <c r="DP89" s="18">
        <f>DO89*VLOOKUP('Données projet'!$B$14,Paramètres!$A$1:$I$89,3,0)*VLOOKUP('Données projet'!$B$14,Paramètres!$A$1:$I$89,5,0)</f>
        <v>174.83799999999988</v>
      </c>
      <c r="DQ89" s="14">
        <f t="shared" si="97"/>
        <v>44.171798682067859</v>
      </c>
      <c r="DR89" s="22">
        <f t="shared" si="70"/>
        <v>381.44206603793464</v>
      </c>
      <c r="DS89" s="62">
        <f t="shared" si="71"/>
        <v>674.77539937126789</v>
      </c>
      <c r="DT89" s="62">
        <f ca="1">AVERAGE(OFFSET($DS$3,0,0,'Données projet'!$E$14+1,1))-AVERAGE(OFFSET($H$3,0,0,'Données projet'!$E$14+1,1))</f>
        <v>290.46086333591074</v>
      </c>
      <c r="DU89" s="62">
        <f t="shared" si="98"/>
        <v>236.8495901994267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-1.1368683772161603E-13</v>
      </c>
      <c r="EK89" s="18">
        <f>EJ89*VLOOKUP('Données projet'!$B$15,Paramètres!$A$1:$I$89,3,0)*VLOOKUP('Données projet'!$B$15,Paramètres!$A$1:$I$89,5,0)</f>
        <v>-9.2222762759774927E-14</v>
      </c>
      <c r="EL89" s="14" t="e">
        <f t="shared" si="99"/>
        <v>#NUM!</v>
      </c>
      <c r="EM89" s="22" t="e">
        <f t="shared" si="73"/>
        <v>#NUM!</v>
      </c>
      <c r="EN89" s="62" t="e">
        <f t="shared" si="74"/>
        <v>#NUM!</v>
      </c>
      <c r="EO89" s="62">
        <f ca="1">AVERAGE(OFFSET($EN$3,0,0,'Données projet'!$E$15+1,1))-AVERAGE(OFFSET($H$3,0,0,'Données projet'!$E$15+1,1))</f>
        <v>256.19915261735281</v>
      </c>
      <c r="EP89" s="62">
        <f t="shared" si="100"/>
        <v>297.47246687305056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11.5</v>
      </c>
      <c r="N90" s="14">
        <f>IF('Données projet'!$A$36&gt;35,N89+M90-V89,IF(A90&lt;'Données projet'!$A$36,$K$205^A90,IF(A90='Données projet'!$A$36,'Données projet'!$B$36,N89+M90-V89)))</f>
        <v>454.49999999999966</v>
      </c>
      <c r="O90" s="14">
        <f>N90*VLOOKUP('Données projet'!$B$9,Paramètres!$A$1:$I$89,3,0)*VLOOKUP('Données projet'!$B$9,Paramètres!$A$1:$I$89,5,0)</f>
        <v>389.96099999999973</v>
      </c>
      <c r="P90" s="14">
        <f t="shared" si="87"/>
        <v>89.738411052819643</v>
      </c>
      <c r="Q90" s="22">
        <f t="shared" si="54"/>
        <v>835.47647425032699</v>
      </c>
      <c r="R90" s="62">
        <f t="shared" si="55"/>
        <v>1128.8098075836604</v>
      </c>
      <c r="S90" s="62">
        <f ca="1">AVERAGE(OFFSET($R$3,0,0,'Données projet'!$E$9+1,1))-AVERAGE(OFFSET($H$3,0,0,'Données projet'!$E$9+1,1))</f>
        <v>446.27304516866047</v>
      </c>
      <c r="T90" s="62">
        <f t="shared" si="88"/>
        <v>230.82970731138215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-3.4106051316484809E-13</v>
      </c>
      <c r="AJ90" s="14">
        <f>AI90*VLOOKUP('Données projet'!$B$10,Paramètres!$A$1:$I$89,3,0)*VLOOKUP('Données projet'!$B$10,Paramètres!$A$1:$I$89,5,0)</f>
        <v>-2.7134774427395314E-13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427.78067187784063</v>
      </c>
      <c r="AO90" s="62">
        <f t="shared" si="90"/>
        <v>464.22892523825118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1.7053025658242404E-13</v>
      </c>
      <c r="BE90" s="14">
        <f>BD90*VLOOKUP('Données projet'!$B$11,Paramètres!$A$1:$I$89,3,0)*VLOOKUP('Données projet'!$B$11,Paramètres!$A$1:$I$89,5,0)</f>
        <v>1.3301360013429075E-13</v>
      </c>
      <c r="BF90" s="14">
        <f t="shared" si="91"/>
        <v>1.9329766731057041E-12</v>
      </c>
      <c r="BG90" s="22">
        <f t="shared" si="61"/>
        <v>3.5982663925596575E-12</v>
      </c>
      <c r="BH90" s="62">
        <f t="shared" si="62"/>
        <v>293.3333333333369</v>
      </c>
      <c r="BI90" s="62">
        <f ca="1">AVERAGE(OFFSET($BH$3,0,0,'Données projet'!$E$11+1,1))-AVERAGE(OFFSET($H$3,0,0,'Données projet'!$E$11+1,1))</f>
        <v>312.09994042858187</v>
      </c>
      <c r="BJ90" s="62">
        <f t="shared" si="92"/>
        <v>283.48738729114024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-2.2737367544323206E-13</v>
      </c>
      <c r="BZ90" s="14">
        <f>BY90*VLOOKUP('Données projet'!$B$12,Paramètres!$A$1:$I$89,3,0)*VLOOKUP('Données projet'!$B$12,Paramètres!$A$1:$I$89,5,0)</f>
        <v>-1.8089849618263545E-13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370.79299728190904</v>
      </c>
      <c r="CE90" s="62">
        <f t="shared" si="94"/>
        <v>404.95703400805775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3.5897435897435854</v>
      </c>
      <c r="CT90" s="13">
        <f>IF('Données projet'!$A$140&gt;35,CT89+CS90-DB89,IF(A90&lt;'Données projet'!$A$140,$CQ$205^A90,IF(A90='Données projet'!$A$140,'Données projet'!$B$140,CT89+CS90-DB89)))</f>
        <v>219.35897435897434</v>
      </c>
      <c r="CU90" s="18">
        <f>CT90*VLOOKUP('Données projet'!$B$13,Paramètres!$A$1:$I$89,3,0)*VLOOKUP('Données projet'!$B$13,Paramètres!$A$1:$I$89,5,0)</f>
        <v>208.74199999999999</v>
      </c>
      <c r="CV90" s="14">
        <f t="shared" si="95"/>
        <v>51.660584988812488</v>
      </c>
      <c r="CW90" s="22">
        <f t="shared" si="67"/>
        <v>453.53450218884836</v>
      </c>
      <c r="CX90" s="62">
        <f t="shared" si="68"/>
        <v>746.86783552218162</v>
      </c>
      <c r="CY90" s="62">
        <f ca="1">AVERAGE(OFFSET($CX$3,0,0,'Données projet'!$E$13+1,1))-AVERAGE(OFFSET($H$3,0,0,'Données projet'!$E$13+1,1))</f>
        <v>351.34897243264044</v>
      </c>
      <c r="CZ90" s="62">
        <f t="shared" si="96"/>
        <v>268.39685058071603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3.5897435897435912</v>
      </c>
      <c r="DO90" s="13">
        <f>IF('Données projet'!$A$166&gt;35,DO89+DN90-DW89,IF(A90&lt;'Données projet'!$A$166,$DL$205^A90,IF(A90='Données projet'!$A$166,'Données projet'!$B$166,DO89+DN90-DW89)))</f>
        <v>264.23076923076906</v>
      </c>
      <c r="DP90" s="18">
        <f>DO90*VLOOKUP('Données projet'!$B$14,Paramètres!$A$1:$I$89,3,0)*VLOOKUP('Données projet'!$B$14,Paramètres!$A$1:$I$89,5,0)</f>
        <v>177.2459999999999</v>
      </c>
      <c r="DQ90" s="14">
        <f t="shared" si="97"/>
        <v>44.708923176637185</v>
      </c>
      <c r="DR90" s="22">
        <f t="shared" si="70"/>
        <v>386.57149119930955</v>
      </c>
      <c r="DS90" s="62">
        <f t="shared" si="71"/>
        <v>679.90482453264281</v>
      </c>
      <c r="DT90" s="62">
        <f ca="1">AVERAGE(OFFSET($DS$3,0,0,'Données projet'!$E$14+1,1))-AVERAGE(OFFSET($H$3,0,0,'Données projet'!$E$14+1,1))</f>
        <v>290.46086333591074</v>
      </c>
      <c r="DU90" s="62">
        <f t="shared" si="98"/>
        <v>236.8495901994267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-1.1368683772161603E-13</v>
      </c>
      <c r="EK90" s="18">
        <f>EJ90*VLOOKUP('Données projet'!$B$15,Paramètres!$A$1:$I$89,3,0)*VLOOKUP('Données projet'!$B$15,Paramètres!$A$1:$I$89,5,0)</f>
        <v>-9.2222762759774927E-14</v>
      </c>
      <c r="EL90" s="14" t="e">
        <f t="shared" si="99"/>
        <v>#NUM!</v>
      </c>
      <c r="EM90" s="22" t="e">
        <f t="shared" si="73"/>
        <v>#NUM!</v>
      </c>
      <c r="EN90" s="62" t="e">
        <f t="shared" si="74"/>
        <v>#NUM!</v>
      </c>
      <c r="EO90" s="62">
        <f ca="1">AVERAGE(OFFSET($EN$3,0,0,'Données projet'!$E$15+1,1))-AVERAGE(OFFSET($H$3,0,0,'Données projet'!$E$15+1,1))</f>
        <v>256.19915261735281</v>
      </c>
      <c r="EP90" s="62">
        <f t="shared" si="100"/>
        <v>297.47246687305056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11.5</v>
      </c>
      <c r="N91" s="14">
        <f>IF('Données projet'!$A$36&gt;35,N90+M91-V90,IF(A91&lt;'Données projet'!$A$36,$K$205^A91,IF(A91='Données projet'!$A$36,'Données projet'!$B$36,N90+M91-V90)))</f>
        <v>465.99999999999966</v>
      </c>
      <c r="O91" s="14">
        <f>N91*VLOOKUP('Données projet'!$B$9,Paramètres!$A$1:$I$89,3,0)*VLOOKUP('Données projet'!$B$9,Paramètres!$A$1:$I$89,5,0)</f>
        <v>399.82799999999975</v>
      </c>
      <c r="P91" s="14">
        <f t="shared" si="87"/>
        <v>91.741793988042701</v>
      </c>
      <c r="Q91" s="22">
        <f t="shared" si="54"/>
        <v>856.15072452917377</v>
      </c>
      <c r="R91" s="62">
        <f t="shared" si="55"/>
        <v>1149.4840578625071</v>
      </c>
      <c r="S91" s="62">
        <f ca="1">AVERAGE(OFFSET($R$3,0,0,'Données projet'!$E$9+1,1))-AVERAGE(OFFSET($H$3,0,0,'Données projet'!$E$9+1,1))</f>
        <v>446.27304516866047</v>
      </c>
      <c r="T91" s="62">
        <f t="shared" si="88"/>
        <v>230.82970731138215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-3.4106051316484809E-13</v>
      </c>
      <c r="AJ91" s="14">
        <f>AI91*VLOOKUP('Données projet'!$B$10,Paramètres!$A$1:$I$89,3,0)*VLOOKUP('Données projet'!$B$10,Paramètres!$A$1:$I$89,5,0)</f>
        <v>-2.7134774427395314E-13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427.78067187784063</v>
      </c>
      <c r="AO91" s="62">
        <f t="shared" si="90"/>
        <v>464.22892523825118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1.7053025658242404E-13</v>
      </c>
      <c r="BE91" s="14">
        <f>BD91*VLOOKUP('Données projet'!$B$11,Paramètres!$A$1:$I$89,3,0)*VLOOKUP('Données projet'!$B$11,Paramètres!$A$1:$I$89,5,0)</f>
        <v>1.3301360013429075E-13</v>
      </c>
      <c r="BF91" s="14">
        <f t="shared" si="91"/>
        <v>1.9329766731057041E-12</v>
      </c>
      <c r="BG91" s="22">
        <f t="shared" si="61"/>
        <v>3.5982663925596575E-12</v>
      </c>
      <c r="BH91" s="62">
        <f t="shared" si="62"/>
        <v>293.3333333333369</v>
      </c>
      <c r="BI91" s="62">
        <f ca="1">AVERAGE(OFFSET($BH$3,0,0,'Données projet'!$E$11+1,1))-AVERAGE(OFFSET($H$3,0,0,'Données projet'!$E$11+1,1))</f>
        <v>312.09994042858187</v>
      </c>
      <c r="BJ91" s="62">
        <f t="shared" si="92"/>
        <v>283.48738729114024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-2.2737367544323206E-13</v>
      </c>
      <c r="BZ91" s="14">
        <f>BY91*VLOOKUP('Données projet'!$B$12,Paramètres!$A$1:$I$89,3,0)*VLOOKUP('Données projet'!$B$12,Paramètres!$A$1:$I$89,5,0)</f>
        <v>-1.8089849618263545E-13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370.79299728190904</v>
      </c>
      <c r="CE91" s="62">
        <f t="shared" si="94"/>
        <v>404.95703400805775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3.5897435897435854</v>
      </c>
      <c r="CT91" s="13">
        <f>IF('Données projet'!$A$140&gt;35,CT90+CS91-DB90,IF(A91&lt;'Données projet'!$A$140,$CQ$205^A91,IF(A91='Données projet'!$A$140,'Données projet'!$B$140,CT90+CS91-DB90)))</f>
        <v>222.94871794871793</v>
      </c>
      <c r="CU91" s="18">
        <f>CT91*VLOOKUP('Données projet'!$B$13,Paramètres!$A$1:$I$89,3,0)*VLOOKUP('Données projet'!$B$13,Paramètres!$A$1:$I$89,5,0)</f>
        <v>212.15799999999999</v>
      </c>
      <c r="CV91" s="14">
        <f t="shared" si="95"/>
        <v>52.406882027255541</v>
      </c>
      <c r="CW91" s="22">
        <f t="shared" si="67"/>
        <v>460.78383619747001</v>
      </c>
      <c r="CX91" s="62">
        <f t="shared" si="68"/>
        <v>754.11716953080327</v>
      </c>
      <c r="CY91" s="62">
        <f ca="1">AVERAGE(OFFSET($CX$3,0,0,'Données projet'!$E$13+1,1))-AVERAGE(OFFSET($H$3,0,0,'Données projet'!$E$13+1,1))</f>
        <v>351.34897243264044</v>
      </c>
      <c r="CZ91" s="62">
        <f t="shared" si="96"/>
        <v>268.39685058071603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3.5897435897435912</v>
      </c>
      <c r="DO91" s="13">
        <f>IF('Données projet'!$A$166&gt;35,DO90+DN91-DW90,IF(A91&lt;'Données projet'!$A$166,$DL$205^A91,IF(A91='Données projet'!$A$166,'Données projet'!$B$166,DO90+DN91-DW90)))</f>
        <v>267.82051282051265</v>
      </c>
      <c r="DP91" s="18">
        <f>DO91*VLOOKUP('Données projet'!$B$14,Paramètres!$A$1:$I$89,3,0)*VLOOKUP('Données projet'!$B$14,Paramètres!$A$1:$I$89,5,0)</f>
        <v>179.65399999999988</v>
      </c>
      <c r="DQ91" s="14">
        <f t="shared" si="97"/>
        <v>45.245198923213806</v>
      </c>
      <c r="DR91" s="22">
        <f t="shared" si="70"/>
        <v>391.69943812459718</v>
      </c>
      <c r="DS91" s="62">
        <f t="shared" si="71"/>
        <v>685.03277145793049</v>
      </c>
      <c r="DT91" s="62">
        <f ca="1">AVERAGE(OFFSET($DS$3,0,0,'Données projet'!$E$14+1,1))-AVERAGE(OFFSET($H$3,0,0,'Données projet'!$E$14+1,1))</f>
        <v>290.46086333591074</v>
      </c>
      <c r="DU91" s="62">
        <f t="shared" si="98"/>
        <v>236.8495901994267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-1.1368683772161603E-13</v>
      </c>
      <c r="EK91" s="18">
        <f>EJ91*VLOOKUP('Données projet'!$B$15,Paramètres!$A$1:$I$89,3,0)*VLOOKUP('Données projet'!$B$15,Paramètres!$A$1:$I$89,5,0)</f>
        <v>-9.2222762759774927E-14</v>
      </c>
      <c r="EL91" s="14" t="e">
        <f t="shared" si="99"/>
        <v>#NUM!</v>
      </c>
      <c r="EM91" s="22" t="e">
        <f t="shared" si="73"/>
        <v>#NUM!</v>
      </c>
      <c r="EN91" s="62" t="e">
        <f t="shared" si="74"/>
        <v>#NUM!</v>
      </c>
      <c r="EO91" s="62">
        <f ca="1">AVERAGE(OFFSET($EN$3,0,0,'Données projet'!$E$15+1,1))-AVERAGE(OFFSET($H$3,0,0,'Données projet'!$E$15+1,1))</f>
        <v>256.19915261735281</v>
      </c>
      <c r="EP91" s="62">
        <f t="shared" si="100"/>
        <v>297.47246687305056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11.5</v>
      </c>
      <c r="N92" s="14">
        <f>IF('Données projet'!$A$36&gt;35,N91+M92-V91,IF(A92&lt;'Données projet'!$A$36,$K$205^A92,IF(A92='Données projet'!$A$36,'Données projet'!$B$36,N91+M92-V91)))</f>
        <v>477.49999999999966</v>
      </c>
      <c r="O92" s="14">
        <f>N92*VLOOKUP('Données projet'!$B$9,Paramètres!$A$1:$I$89,3,0)*VLOOKUP('Données projet'!$B$9,Paramètres!$A$1:$I$89,5,0)</f>
        <v>409.69499999999977</v>
      </c>
      <c r="P92" s="14">
        <f t="shared" si="87"/>
        <v>93.739429782288525</v>
      </c>
      <c r="Q92" s="22">
        <f t="shared" si="54"/>
        <v>876.81496520415214</v>
      </c>
      <c r="R92" s="62">
        <f t="shared" si="55"/>
        <v>1170.1482985374855</v>
      </c>
      <c r="S92" s="62">
        <f ca="1">AVERAGE(OFFSET($R$3,0,0,'Données projet'!$E$9+1,1))-AVERAGE(OFFSET($H$3,0,0,'Données projet'!$E$9+1,1))</f>
        <v>446.27304516866047</v>
      </c>
      <c r="T92" s="62">
        <f t="shared" si="88"/>
        <v>230.82970731138215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-3.4106051316484809E-13</v>
      </c>
      <c r="AJ92" s="14">
        <f>AI92*VLOOKUP('Données projet'!$B$10,Paramètres!$A$1:$I$89,3,0)*VLOOKUP('Données projet'!$B$10,Paramètres!$A$1:$I$89,5,0)</f>
        <v>-2.7134774427395314E-13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427.78067187784063</v>
      </c>
      <c r="AO92" s="62">
        <f t="shared" si="90"/>
        <v>464.22892523825118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1.7053025658242404E-13</v>
      </c>
      <c r="BE92" s="14">
        <f>BD92*VLOOKUP('Données projet'!$B$11,Paramètres!$A$1:$I$89,3,0)*VLOOKUP('Données projet'!$B$11,Paramètres!$A$1:$I$89,5,0)</f>
        <v>1.3301360013429075E-13</v>
      </c>
      <c r="BF92" s="14">
        <f t="shared" si="91"/>
        <v>1.9329766731057041E-12</v>
      </c>
      <c r="BG92" s="22">
        <f t="shared" si="61"/>
        <v>3.5982663925596575E-12</v>
      </c>
      <c r="BH92" s="62">
        <f t="shared" si="62"/>
        <v>293.3333333333369</v>
      </c>
      <c r="BI92" s="62">
        <f ca="1">AVERAGE(OFFSET($BH$3,0,0,'Données projet'!$E$11+1,1))-AVERAGE(OFFSET($H$3,0,0,'Données projet'!$E$11+1,1))</f>
        <v>312.09994042858187</v>
      </c>
      <c r="BJ92" s="62">
        <f t="shared" si="92"/>
        <v>283.48738729114024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-2.2737367544323206E-13</v>
      </c>
      <c r="BZ92" s="14">
        <f>BY92*VLOOKUP('Données projet'!$B$12,Paramètres!$A$1:$I$89,3,0)*VLOOKUP('Données projet'!$B$12,Paramètres!$A$1:$I$89,5,0)</f>
        <v>-1.8089849618263545E-13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370.79299728190904</v>
      </c>
      <c r="CE92" s="62">
        <f t="shared" si="94"/>
        <v>404.95703400805775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3.5897435897435854</v>
      </c>
      <c r="CT92" s="13">
        <f>IF('Données projet'!$A$140&gt;35,CT91+CS92-DB91,IF(A92&lt;'Données projet'!$A$140,$CQ$205^A92,IF(A92='Données projet'!$A$140,'Données projet'!$B$140,CT91+CS92-DB91)))</f>
        <v>226.53846153846152</v>
      </c>
      <c r="CU92" s="18">
        <f>CT92*VLOOKUP('Données projet'!$B$13,Paramètres!$A$1:$I$89,3,0)*VLOOKUP('Données projet'!$B$13,Paramètres!$A$1:$I$89,5,0)</f>
        <v>215.57399999999998</v>
      </c>
      <c r="CV92" s="14">
        <f t="shared" si="95"/>
        <v>53.15178161634045</v>
      </c>
      <c r="CW92" s="22">
        <f t="shared" si="67"/>
        <v>468.03073631512626</v>
      </c>
      <c r="CX92" s="62">
        <f t="shared" si="68"/>
        <v>761.36406964845958</v>
      </c>
      <c r="CY92" s="62">
        <f ca="1">AVERAGE(OFFSET($CX$3,0,0,'Données projet'!$E$13+1,1))-AVERAGE(OFFSET($H$3,0,0,'Données projet'!$E$13+1,1))</f>
        <v>351.34897243264044</v>
      </c>
      <c r="CZ92" s="62">
        <f t="shared" si="96"/>
        <v>268.39685058071603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3.5897435897435912</v>
      </c>
      <c r="DO92" s="13">
        <f>IF('Données projet'!$A$166&gt;35,DO91+DN92-DW91,IF(A92&lt;'Données projet'!$A$166,$DL$205^A92,IF(A92='Données projet'!$A$166,'Données projet'!$B$166,DO91+DN92-DW91)))</f>
        <v>271.41025641025624</v>
      </c>
      <c r="DP92" s="18">
        <f>DO92*VLOOKUP('Données projet'!$B$14,Paramètres!$A$1:$I$89,3,0)*VLOOKUP('Données projet'!$B$14,Paramètres!$A$1:$I$89,5,0)</f>
        <v>182.0619999999999</v>
      </c>
      <c r="DQ92" s="14">
        <f t="shared" si="97"/>
        <v>45.7806386130828</v>
      </c>
      <c r="DR92" s="22">
        <f t="shared" si="70"/>
        <v>396.82592891778563</v>
      </c>
      <c r="DS92" s="62">
        <f t="shared" si="71"/>
        <v>690.15926225111889</v>
      </c>
      <c r="DT92" s="62">
        <f ca="1">AVERAGE(OFFSET($DS$3,0,0,'Données projet'!$E$14+1,1))-AVERAGE(OFFSET($H$3,0,0,'Données projet'!$E$14+1,1))</f>
        <v>290.46086333591074</v>
      </c>
      <c r="DU92" s="62">
        <f t="shared" si="98"/>
        <v>236.8495901994267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-1.1368683772161603E-13</v>
      </c>
      <c r="EK92" s="18">
        <f>EJ92*VLOOKUP('Données projet'!$B$15,Paramètres!$A$1:$I$89,3,0)*VLOOKUP('Données projet'!$B$15,Paramètres!$A$1:$I$89,5,0)</f>
        <v>-9.2222762759774927E-14</v>
      </c>
      <c r="EL92" s="14" t="e">
        <f t="shared" si="99"/>
        <v>#NUM!</v>
      </c>
      <c r="EM92" s="22" t="e">
        <f t="shared" si="73"/>
        <v>#NUM!</v>
      </c>
      <c r="EN92" s="62" t="e">
        <f t="shared" si="74"/>
        <v>#NUM!</v>
      </c>
      <c r="EO92" s="62">
        <f ca="1">AVERAGE(OFFSET($EN$3,0,0,'Données projet'!$E$15+1,1))-AVERAGE(OFFSET($H$3,0,0,'Données projet'!$E$15+1,1))</f>
        <v>256.19915261735281</v>
      </c>
      <c r="EP92" s="62">
        <f t="shared" si="100"/>
        <v>297.47246687305056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489</v>
      </c>
      <c r="L93" s="13">
        <f>VLOOKUP(A93,'Données projet'!$A$35:$I$55,9,0)</f>
        <v>11.5</v>
      </c>
      <c r="M93" s="13">
        <f t="array" ref="M93">INDEX(L:L,MIN(IF(ISNUMBER(L93:L289),ROW(L93:L289),"")))</f>
        <v>11.5</v>
      </c>
      <c r="N93" s="14">
        <f>IF('Données projet'!$A$36&gt;35,N92+M93-V92,IF(A93&lt;'Données projet'!$A$36,$K$205^A93,IF(A93='Données projet'!$A$36,'Données projet'!$B$36,N92+M93-V92)))</f>
        <v>488.99999999999966</v>
      </c>
      <c r="O93" s="14">
        <f>N93*VLOOKUP('Données projet'!$B$9,Paramètres!$A$1:$I$89,3,0)*VLOOKUP('Données projet'!$B$9,Paramètres!$A$1:$I$89,5,0)</f>
        <v>419.56199999999973</v>
      </c>
      <c r="P93" s="14">
        <f t="shared" si="87"/>
        <v>95.731472773408413</v>
      </c>
      <c r="Q93" s="22">
        <f t="shared" si="54"/>
        <v>897.46946508035228</v>
      </c>
      <c r="R93" s="62">
        <f t="shared" si="55"/>
        <v>1190.8027984136857</v>
      </c>
      <c r="S93" s="62">
        <f ca="1">AVERAGE(OFFSET($R$3,0,0,'Données projet'!$E$9+1,1))-AVERAGE(OFFSET($H$3,0,0,'Données projet'!$E$9+1,1))</f>
        <v>446.27304516866047</v>
      </c>
      <c r="T93" s="62">
        <f t="shared" si="88"/>
        <v>230.82970731138215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-3.4106051316484809E-13</v>
      </c>
      <c r="AJ93" s="14">
        <f>AI93*VLOOKUP('Données projet'!$B$10,Paramètres!$A$1:$I$89,3,0)*VLOOKUP('Données projet'!$B$10,Paramètres!$A$1:$I$89,5,0)</f>
        <v>-2.7134774427395314E-13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427.78067187784063</v>
      </c>
      <c r="AO93" s="62">
        <f t="shared" si="90"/>
        <v>464.22892523825118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1.7053025658242404E-13</v>
      </c>
      <c r="BE93" s="14">
        <f>BD93*VLOOKUP('Données projet'!$B$11,Paramètres!$A$1:$I$89,3,0)*VLOOKUP('Données projet'!$B$11,Paramètres!$A$1:$I$89,5,0)</f>
        <v>1.3301360013429075E-13</v>
      </c>
      <c r="BF93" s="14">
        <f t="shared" si="91"/>
        <v>1.9329766731057041E-12</v>
      </c>
      <c r="BG93" s="22">
        <f t="shared" si="61"/>
        <v>3.5982663925596575E-12</v>
      </c>
      <c r="BH93" s="62">
        <f t="shared" si="62"/>
        <v>293.3333333333369</v>
      </c>
      <c r="BI93" s="62">
        <f ca="1">AVERAGE(OFFSET($BH$3,0,0,'Données projet'!$E$11+1,1))-AVERAGE(OFFSET($H$3,0,0,'Données projet'!$E$11+1,1))</f>
        <v>312.09994042858187</v>
      </c>
      <c r="BJ93" s="62">
        <f t="shared" si="92"/>
        <v>283.48738729114024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-2.2737367544323206E-13</v>
      </c>
      <c r="BZ93" s="14">
        <f>BY93*VLOOKUP('Données projet'!$B$12,Paramètres!$A$1:$I$89,3,0)*VLOOKUP('Données projet'!$B$12,Paramètres!$A$1:$I$89,5,0)</f>
        <v>-1.8089849618263545E-13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370.79299728190904</v>
      </c>
      <c r="CE93" s="62">
        <f t="shared" si="94"/>
        <v>404.95703400805775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230.12820512820511</v>
      </c>
      <c r="CR93" s="13">
        <f>VLOOKUP(A93,'Données projet'!$A$139:$I$159,9,0)</f>
        <v>3.5897435897435854</v>
      </c>
      <c r="CS93" s="13">
        <f t="array" ref="CS93">INDEX(CR:CR,MIN(IF(ISNUMBER(CR93:CR289),ROW(CR93:CR289),"")))</f>
        <v>3.5897435897435854</v>
      </c>
      <c r="CT93" s="13">
        <f>IF('Données projet'!$A$140&gt;35,CT92+CS93-DB92,IF(A93&lt;'Données projet'!$A$140,$CQ$205^A93,IF(A93='Données projet'!$A$140,'Données projet'!$B$140,CT92+CS93-DB92)))</f>
        <v>230.12820512820511</v>
      </c>
      <c r="CU93" s="18">
        <f>CT93*VLOOKUP('Données projet'!$B$13,Paramètres!$A$1:$I$89,3,0)*VLOOKUP('Données projet'!$B$13,Paramètres!$A$1:$I$89,5,0)</f>
        <v>218.98999999999998</v>
      </c>
      <c r="CV93" s="14">
        <f t="shared" si="95"/>
        <v>53.895308457010437</v>
      </c>
      <c r="CW93" s="22">
        <f t="shared" si="67"/>
        <v>475.27524556262642</v>
      </c>
      <c r="CX93" s="62">
        <f t="shared" si="68"/>
        <v>768.60857889595968</v>
      </c>
      <c r="CY93" s="62">
        <f ca="1">AVERAGE(OFFSET($CX$3,0,0,'Données projet'!$E$13+1,1))-AVERAGE(OFFSET($H$3,0,0,'Données projet'!$E$13+1,1))</f>
        <v>351.34897243264044</v>
      </c>
      <c r="CZ93" s="62">
        <f t="shared" si="96"/>
        <v>268.39685058071603</v>
      </c>
      <c r="DA93" s="16">
        <f>IF(ISNA(VLOOKUP(A93,'Données projet'!$A$139:$I$159,3,0)),0,VLOOKUP(A93,'Données projet'!$A$139:$I$159,3,0))</f>
        <v>8</v>
      </c>
      <c r="DB93" s="16">
        <f>IF(ISNA(VLOOKUP(A93,'Données projet'!$A$139:$I$159,4,0)),0,VLOOKUP(A93,'Données projet'!$A$139:$I$159,4,0))</f>
        <v>25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3.5897435897435912</v>
      </c>
      <c r="DN93" s="13">
        <f t="array" ref="DN93">INDEX(DM:DM,MIN(IF(ISNUMBER(DM93:DM289),ROW(DM93:DM289),"")))</f>
        <v>3.5897435897435912</v>
      </c>
      <c r="DO93" s="13">
        <f>IF('Données projet'!$A$166&gt;35,DO92+DN93-DW92,IF(A93&lt;'Données projet'!$A$166,$DL$205^A93,IF(A93='Données projet'!$A$166,'Données projet'!$B$166,DO92+DN93-DW92)))</f>
        <v>274.99999999999983</v>
      </c>
      <c r="DP93" s="18">
        <f>DO93*VLOOKUP('Données projet'!$B$14,Paramètres!$A$1:$I$89,3,0)*VLOOKUP('Données projet'!$B$14,Paramètres!$A$1:$I$89,5,0)</f>
        <v>184.46999999999989</v>
      </c>
      <c r="DQ93" s="14">
        <f t="shared" si="97"/>
        <v>46.315254582516552</v>
      </c>
      <c r="DR93" s="22">
        <f t="shared" si="70"/>
        <v>401.95098506454946</v>
      </c>
      <c r="DS93" s="62">
        <f t="shared" si="71"/>
        <v>695.28431839788277</v>
      </c>
      <c r="DT93" s="62">
        <f ca="1">AVERAGE(OFFSET($DS$3,0,0,'Données projet'!$E$14+1,1))-AVERAGE(OFFSET($H$3,0,0,'Données projet'!$E$14+1,1))</f>
        <v>290.46086333591074</v>
      </c>
      <c r="DU93" s="62">
        <f t="shared" si="98"/>
        <v>236.8495901994267</v>
      </c>
      <c r="DV93" s="16">
        <f>IF(ISNA(VLOOKUP(A93,'Données projet'!$A$165:$I$185,3,0)),0,VLOOKUP(A93,'Données projet'!$A$165:$I$185,3,0))</f>
        <v>8</v>
      </c>
      <c r="DW93" s="16">
        <f>IF(ISNA(VLOOKUP(A93,'Données projet'!$A$165:$I$185,4,0)),0,VLOOKUP(A93,'Données projet'!$A$165:$I$185,4,0))</f>
        <v>23.076923076923077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-1.1368683772161603E-13</v>
      </c>
      <c r="EK93" s="18">
        <f>EJ93*VLOOKUP('Données projet'!$B$15,Paramètres!$A$1:$I$89,3,0)*VLOOKUP('Données projet'!$B$15,Paramètres!$A$1:$I$89,5,0)</f>
        <v>-9.2222762759774927E-14</v>
      </c>
      <c r="EL93" s="14" t="e">
        <f t="shared" si="99"/>
        <v>#NUM!</v>
      </c>
      <c r="EM93" s="22" t="e">
        <f t="shared" si="73"/>
        <v>#NUM!</v>
      </c>
      <c r="EN93" s="62" t="e">
        <f t="shared" si="74"/>
        <v>#NUM!</v>
      </c>
      <c r="EO93" s="62">
        <f ca="1">AVERAGE(OFFSET($EN$3,0,0,'Données projet'!$E$15+1,1))-AVERAGE(OFFSET($H$3,0,0,'Données projet'!$E$15+1,1))</f>
        <v>256.19915261735281</v>
      </c>
      <c r="EP93" s="62">
        <f t="shared" si="100"/>
        <v>297.47246687305056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11.333333333333334</v>
      </c>
      <c r="N94" s="14">
        <f>IF('Données projet'!$A$36&gt;35,N93+M94-V93,IF(A94&lt;'Données projet'!$A$36,$K$205^A94,IF(A94='Données projet'!$A$36,'Données projet'!$B$36,N93+M94-V93)))</f>
        <v>500.33333333333297</v>
      </c>
      <c r="O94" s="14">
        <f>N94*VLOOKUP('Données projet'!$B$9,Paramètres!$A$1:$I$89,3,0)*VLOOKUP('Données projet'!$B$9,Paramètres!$A$1:$I$89,5,0)</f>
        <v>429.28599999999977</v>
      </c>
      <c r="P94" s="14">
        <f t="shared" si="87"/>
        <v>97.689316592289586</v>
      </c>
      <c r="Q94" s="22">
        <f t="shared" si="54"/>
        <v>917.81534306490391</v>
      </c>
      <c r="R94" s="62">
        <f t="shared" si="55"/>
        <v>1211.1486763982373</v>
      </c>
      <c r="S94" s="62">
        <f ca="1">AVERAGE(OFFSET($R$3,0,0,'Données projet'!$E$9+1,1))-AVERAGE(OFFSET($H$3,0,0,'Données projet'!$E$9+1,1))</f>
        <v>446.27304516866047</v>
      </c>
      <c r="T94" s="62">
        <f t="shared" si="88"/>
        <v>230.82970731138215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-3.4106051316484809E-13</v>
      </c>
      <c r="AJ94" s="14">
        <f>AI94*VLOOKUP('Données projet'!$B$10,Paramètres!$A$1:$I$89,3,0)*VLOOKUP('Données projet'!$B$10,Paramètres!$A$1:$I$89,5,0)</f>
        <v>-2.7134774427395314E-13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427.78067187784063</v>
      </c>
      <c r="AO94" s="62">
        <f t="shared" si="90"/>
        <v>464.22892523825118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1.7053025658242404E-13</v>
      </c>
      <c r="BE94" s="14">
        <f>BD94*VLOOKUP('Données projet'!$B$11,Paramètres!$A$1:$I$89,3,0)*VLOOKUP('Données projet'!$B$11,Paramètres!$A$1:$I$89,5,0)</f>
        <v>1.3301360013429075E-13</v>
      </c>
      <c r="BF94" s="14">
        <f t="shared" si="91"/>
        <v>1.9329766731057041E-12</v>
      </c>
      <c r="BG94" s="22">
        <f t="shared" si="61"/>
        <v>3.5982663925596575E-12</v>
      </c>
      <c r="BH94" s="62">
        <f t="shared" si="62"/>
        <v>293.3333333333369</v>
      </c>
      <c r="BI94" s="62">
        <f ca="1">AVERAGE(OFFSET($BH$3,0,0,'Données projet'!$E$11+1,1))-AVERAGE(OFFSET($H$3,0,0,'Données projet'!$E$11+1,1))</f>
        <v>312.09994042858187</v>
      </c>
      <c r="BJ94" s="62">
        <f t="shared" si="92"/>
        <v>283.48738729114024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-2.2737367544323206E-13</v>
      </c>
      <c r="BZ94" s="14">
        <f>BY94*VLOOKUP('Données projet'!$B$12,Paramètres!$A$1:$I$89,3,0)*VLOOKUP('Données projet'!$B$12,Paramètres!$A$1:$I$89,5,0)</f>
        <v>-1.8089849618263545E-13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370.79299728190904</v>
      </c>
      <c r="CE94" s="62">
        <f t="shared" si="94"/>
        <v>404.95703400805775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3.333333333333337</v>
      </c>
      <c r="CT94" s="13">
        <f>IF('Données projet'!$A$140&gt;35,CT93+CS94-DB93,IF(A94&lt;'Données projet'!$A$140,$CQ$205^A94,IF(A94='Données projet'!$A$140,'Données projet'!$B$140,CT93+CS94-DB93)))</f>
        <v>208.46153846153845</v>
      </c>
      <c r="CU94" s="18">
        <f>CT94*VLOOKUP('Données projet'!$B$13,Paramètres!$A$1:$I$89,3,0)*VLOOKUP('Données projet'!$B$13,Paramètres!$A$1:$I$89,5,0)</f>
        <v>198.37199999999999</v>
      </c>
      <c r="CV94" s="14">
        <f t="shared" si="95"/>
        <v>49.386212584388019</v>
      </c>
      <c r="CW94" s="22">
        <f t="shared" si="67"/>
        <v>431.51222025114242</v>
      </c>
      <c r="CX94" s="62">
        <f t="shared" si="68"/>
        <v>724.84555358447574</v>
      </c>
      <c r="CY94" s="62">
        <f ca="1">AVERAGE(OFFSET($CX$3,0,0,'Données projet'!$E$13+1,1))-AVERAGE(OFFSET($H$3,0,0,'Données projet'!$E$13+1,1))</f>
        <v>351.34897243264044</v>
      </c>
      <c r="CZ94" s="62">
        <f t="shared" si="96"/>
        <v>268.39685058071603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3.5897435897435854</v>
      </c>
      <c r="DO94" s="13">
        <f>IF('Données projet'!$A$166&gt;35,DO93+DN94-DW93,IF(A94&lt;'Données projet'!$A$166,$DL$205^A94,IF(A94='Données projet'!$A$166,'Données projet'!$B$166,DO93+DN94-DW93)))</f>
        <v>255.51282051282035</v>
      </c>
      <c r="DP94" s="18">
        <f>DO94*VLOOKUP('Données projet'!$B$14,Paramètres!$A$1:$I$89,3,0)*VLOOKUP('Données projet'!$B$14,Paramètres!$A$1:$I$89,5,0)</f>
        <v>171.39799999999988</v>
      </c>
      <c r="DQ94" s="14">
        <f t="shared" si="97"/>
        <v>43.402979681309937</v>
      </c>
      <c r="DR94" s="22">
        <f t="shared" si="70"/>
        <v>374.11170627828125</v>
      </c>
      <c r="DS94" s="62">
        <f t="shared" si="71"/>
        <v>667.44503961161456</v>
      </c>
      <c r="DT94" s="62">
        <f ca="1">AVERAGE(OFFSET($DS$3,0,0,'Données projet'!$E$14+1,1))-AVERAGE(OFFSET($H$3,0,0,'Données projet'!$E$14+1,1))</f>
        <v>290.46086333591074</v>
      </c>
      <c r="DU94" s="62">
        <f t="shared" si="98"/>
        <v>236.8495901994267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-1.1368683772161603E-13</v>
      </c>
      <c r="EK94" s="18">
        <f>EJ94*VLOOKUP('Données projet'!$B$15,Paramètres!$A$1:$I$89,3,0)*VLOOKUP('Données projet'!$B$15,Paramètres!$A$1:$I$89,5,0)</f>
        <v>-9.2222762759774927E-14</v>
      </c>
      <c r="EL94" s="14" t="e">
        <f t="shared" si="99"/>
        <v>#NUM!</v>
      </c>
      <c r="EM94" s="22" t="e">
        <f t="shared" si="73"/>
        <v>#NUM!</v>
      </c>
      <c r="EN94" s="62" t="e">
        <f t="shared" si="74"/>
        <v>#NUM!</v>
      </c>
      <c r="EO94" s="62">
        <f ca="1">AVERAGE(OFFSET($EN$3,0,0,'Données projet'!$E$15+1,1))-AVERAGE(OFFSET($H$3,0,0,'Données projet'!$E$15+1,1))</f>
        <v>256.19915261735281</v>
      </c>
      <c r="EP94" s="62">
        <f t="shared" si="100"/>
        <v>297.47246687305056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11.333333333333334</v>
      </c>
      <c r="N95" s="14">
        <f>IF('Données projet'!$A$36&gt;35,N94+M95-V94,IF(A95&lt;'Données projet'!$A$36,$K$205^A95,IF(A95='Données projet'!$A$36,'Données projet'!$B$36,N94+M95-V94)))</f>
        <v>511.66666666666629</v>
      </c>
      <c r="O95" s="14">
        <f>N95*VLOOKUP('Données projet'!$B$9,Paramètres!$A$1:$I$89,3,0)*VLOOKUP('Données projet'!$B$9,Paramètres!$A$1:$I$89,5,0)</f>
        <v>439.00999999999971</v>
      </c>
      <c r="P95" s="14">
        <f t="shared" si="87"/>
        <v>99.642004610829247</v>
      </c>
      <c r="Q95" s="22">
        <f t="shared" si="54"/>
        <v>938.15224136386041</v>
      </c>
      <c r="R95" s="62">
        <f t="shared" si="55"/>
        <v>1231.4855746971937</v>
      </c>
      <c r="S95" s="62">
        <f ca="1">AVERAGE(OFFSET($R$3,0,0,'Données projet'!$E$9+1,1))-AVERAGE(OFFSET($H$3,0,0,'Données projet'!$E$9+1,1))</f>
        <v>446.27304516866047</v>
      </c>
      <c r="T95" s="62">
        <f t="shared" si="88"/>
        <v>230.82970731138215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-3.4106051316484809E-13</v>
      </c>
      <c r="AJ95" s="14">
        <f>AI95*VLOOKUP('Données projet'!$B$10,Paramètres!$A$1:$I$89,3,0)*VLOOKUP('Données projet'!$B$10,Paramètres!$A$1:$I$89,5,0)</f>
        <v>-2.7134774427395314E-13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427.78067187784063</v>
      </c>
      <c r="AO95" s="62">
        <f t="shared" si="90"/>
        <v>464.22892523825118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1.7053025658242404E-13</v>
      </c>
      <c r="BE95" s="14">
        <f>BD95*VLOOKUP('Données projet'!$B$11,Paramètres!$A$1:$I$89,3,0)*VLOOKUP('Données projet'!$B$11,Paramètres!$A$1:$I$89,5,0)</f>
        <v>1.3301360013429075E-13</v>
      </c>
      <c r="BF95" s="14">
        <f t="shared" si="91"/>
        <v>1.9329766731057041E-12</v>
      </c>
      <c r="BG95" s="22">
        <f t="shared" si="61"/>
        <v>3.5982663925596575E-12</v>
      </c>
      <c r="BH95" s="62">
        <f t="shared" si="62"/>
        <v>293.3333333333369</v>
      </c>
      <c r="BI95" s="62">
        <f ca="1">AVERAGE(OFFSET($BH$3,0,0,'Données projet'!$E$11+1,1))-AVERAGE(OFFSET($H$3,0,0,'Données projet'!$E$11+1,1))</f>
        <v>312.09994042858187</v>
      </c>
      <c r="BJ95" s="62">
        <f t="shared" si="92"/>
        <v>283.48738729114024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-2.2737367544323206E-13</v>
      </c>
      <c r="BZ95" s="14">
        <f>BY95*VLOOKUP('Données projet'!$B$12,Paramètres!$A$1:$I$89,3,0)*VLOOKUP('Données projet'!$B$12,Paramètres!$A$1:$I$89,5,0)</f>
        <v>-1.8089849618263545E-13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370.79299728190904</v>
      </c>
      <c r="CE95" s="62">
        <f t="shared" si="94"/>
        <v>404.95703400805775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3.333333333333337</v>
      </c>
      <c r="CT95" s="13">
        <f>IF('Données projet'!$A$140&gt;35,CT94+CS95-DB94,IF(A95&lt;'Données projet'!$A$140,$CQ$205^A95,IF(A95='Données projet'!$A$140,'Données projet'!$B$140,CT94+CS95-DB94)))</f>
        <v>211.7948717948718</v>
      </c>
      <c r="CU95" s="18">
        <f>CT95*VLOOKUP('Données projet'!$B$13,Paramètres!$A$1:$I$89,3,0)*VLOOKUP('Données projet'!$B$13,Paramètres!$A$1:$I$89,5,0)</f>
        <v>201.54400000000001</v>
      </c>
      <c r="CV95" s="14">
        <f t="shared" si="95"/>
        <v>50.083340169527808</v>
      </c>
      <c r="CW95" s="22">
        <f t="shared" si="67"/>
        <v>438.25095079526091</v>
      </c>
      <c r="CX95" s="62">
        <f t="shared" si="68"/>
        <v>731.58428412859416</v>
      </c>
      <c r="CY95" s="62">
        <f ca="1">AVERAGE(OFFSET($CX$3,0,0,'Données projet'!$E$13+1,1))-AVERAGE(OFFSET($H$3,0,0,'Données projet'!$E$13+1,1))</f>
        <v>351.34897243264044</v>
      </c>
      <c r="CZ95" s="62">
        <f t="shared" si="96"/>
        <v>268.39685058071603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3.5897435897435854</v>
      </c>
      <c r="DO95" s="13">
        <f>IF('Données projet'!$A$166&gt;35,DO94+DN95-DW94,IF(A95&lt;'Données projet'!$A$166,$DL$205^A95,IF(A95='Données projet'!$A$166,'Données projet'!$B$166,DO94+DN95-DW94)))</f>
        <v>259.10256410256392</v>
      </c>
      <c r="DP95" s="18">
        <f>DO95*VLOOKUP('Données projet'!$B$14,Paramètres!$A$1:$I$89,3,0)*VLOOKUP('Données projet'!$B$14,Paramètres!$A$1:$I$89,5,0)</f>
        <v>173.80599999999987</v>
      </c>
      <c r="DQ95" s="14">
        <f t="shared" si="97"/>
        <v>43.941339425962099</v>
      </c>
      <c r="DR95" s="22">
        <f t="shared" si="70"/>
        <v>379.24328283355038</v>
      </c>
      <c r="DS95" s="62">
        <f t="shared" si="71"/>
        <v>672.5766161668837</v>
      </c>
      <c r="DT95" s="62">
        <f ca="1">AVERAGE(OFFSET($DS$3,0,0,'Données projet'!$E$14+1,1))-AVERAGE(OFFSET($H$3,0,0,'Données projet'!$E$14+1,1))</f>
        <v>290.46086333591074</v>
      </c>
      <c r="DU95" s="62">
        <f t="shared" si="98"/>
        <v>236.8495901994267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-1.1368683772161603E-13</v>
      </c>
      <c r="EK95" s="18">
        <f>EJ95*VLOOKUP('Données projet'!$B$15,Paramètres!$A$1:$I$89,3,0)*VLOOKUP('Données projet'!$B$15,Paramètres!$A$1:$I$89,5,0)</f>
        <v>-9.2222762759774927E-14</v>
      </c>
      <c r="EL95" s="14" t="e">
        <f t="shared" si="99"/>
        <v>#NUM!</v>
      </c>
      <c r="EM95" s="22" t="e">
        <f t="shared" si="73"/>
        <v>#NUM!</v>
      </c>
      <c r="EN95" s="62" t="e">
        <f t="shared" si="74"/>
        <v>#NUM!</v>
      </c>
      <c r="EO95" s="62">
        <f ca="1">AVERAGE(OFFSET($EN$3,0,0,'Données projet'!$E$15+1,1))-AVERAGE(OFFSET($H$3,0,0,'Données projet'!$E$15+1,1))</f>
        <v>256.19915261735281</v>
      </c>
      <c r="EP95" s="62">
        <f t="shared" si="100"/>
        <v>297.47246687305056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11.333333333333334</v>
      </c>
      <c r="N96" s="14">
        <f>IF('Données projet'!$A$36&gt;35,N95+M96-V95,IF(A96&lt;'Données projet'!$A$36,$K$205^A96,IF(A96='Données projet'!$A$36,'Données projet'!$B$36,N95+M96-V95)))</f>
        <v>522.99999999999966</v>
      </c>
      <c r="O96" s="14">
        <f>N96*VLOOKUP('Données projet'!$B$9,Paramètres!$A$1:$I$89,3,0)*VLOOKUP('Données projet'!$B$9,Paramètres!$A$1:$I$89,5,0)</f>
        <v>448.73399999999981</v>
      </c>
      <c r="P96" s="14">
        <f t="shared" si="87"/>
        <v>101.58966417888674</v>
      </c>
      <c r="Q96" s="22">
        <f t="shared" si="54"/>
        <v>958.48038177822752</v>
      </c>
      <c r="R96" s="62">
        <f t="shared" si="55"/>
        <v>1251.8137151115609</v>
      </c>
      <c r="S96" s="62">
        <f ca="1">AVERAGE(OFFSET($R$3,0,0,'Données projet'!$E$9+1,1))-AVERAGE(OFFSET($H$3,0,0,'Données projet'!$E$9+1,1))</f>
        <v>446.27304516866047</v>
      </c>
      <c r="T96" s="62">
        <f t="shared" si="88"/>
        <v>230.82970731138215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-3.4106051316484809E-13</v>
      </c>
      <c r="AJ96" s="14">
        <f>AI96*VLOOKUP('Données projet'!$B$10,Paramètres!$A$1:$I$89,3,0)*VLOOKUP('Données projet'!$B$10,Paramètres!$A$1:$I$89,5,0)</f>
        <v>-2.7134774427395314E-13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427.78067187784063</v>
      </c>
      <c r="AO96" s="62">
        <f t="shared" si="90"/>
        <v>464.22892523825118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1.7053025658242404E-13</v>
      </c>
      <c r="BE96" s="14">
        <f>BD96*VLOOKUP('Données projet'!$B$11,Paramètres!$A$1:$I$89,3,0)*VLOOKUP('Données projet'!$B$11,Paramètres!$A$1:$I$89,5,0)</f>
        <v>1.3301360013429075E-13</v>
      </c>
      <c r="BF96" s="14">
        <f t="shared" si="91"/>
        <v>1.9329766731057041E-12</v>
      </c>
      <c r="BG96" s="22">
        <f t="shared" si="61"/>
        <v>3.5982663925596575E-12</v>
      </c>
      <c r="BH96" s="62">
        <f t="shared" si="62"/>
        <v>293.3333333333369</v>
      </c>
      <c r="BI96" s="62">
        <f ca="1">AVERAGE(OFFSET($BH$3,0,0,'Données projet'!$E$11+1,1))-AVERAGE(OFFSET($H$3,0,0,'Données projet'!$E$11+1,1))</f>
        <v>312.09994042858187</v>
      </c>
      <c r="BJ96" s="62">
        <f t="shared" si="92"/>
        <v>283.48738729114024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-2.2737367544323206E-13</v>
      </c>
      <c r="BZ96" s="14">
        <f>BY96*VLOOKUP('Données projet'!$B$12,Paramètres!$A$1:$I$89,3,0)*VLOOKUP('Données projet'!$B$12,Paramètres!$A$1:$I$89,5,0)</f>
        <v>-1.8089849618263545E-13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370.79299728190904</v>
      </c>
      <c r="CE96" s="62">
        <f t="shared" si="94"/>
        <v>404.95703400805775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3.333333333333337</v>
      </c>
      <c r="CT96" s="13">
        <f>IF('Données projet'!$A$140&gt;35,CT95+CS96-DB95,IF(A96&lt;'Données projet'!$A$140,$CQ$205^A96,IF(A96='Données projet'!$A$140,'Données projet'!$B$140,CT95+CS96-DB95)))</f>
        <v>215.12820512820514</v>
      </c>
      <c r="CU96" s="18">
        <f>CT96*VLOOKUP('Données projet'!$B$13,Paramètres!$A$1:$I$89,3,0)*VLOOKUP('Données projet'!$B$13,Paramètres!$A$1:$I$89,5,0)</f>
        <v>204.71600000000001</v>
      </c>
      <c r="CV96" s="14">
        <f t="shared" si="95"/>
        <v>50.779191757338026</v>
      </c>
      <c r="CW96" s="22">
        <f t="shared" si="67"/>
        <v>444.9874589773637</v>
      </c>
      <c r="CX96" s="62">
        <f t="shared" si="68"/>
        <v>738.32079231069702</v>
      </c>
      <c r="CY96" s="62">
        <f ca="1">AVERAGE(OFFSET($CX$3,0,0,'Données projet'!$E$13+1,1))-AVERAGE(OFFSET($H$3,0,0,'Données projet'!$E$13+1,1))</f>
        <v>351.34897243264044</v>
      </c>
      <c r="CZ96" s="62">
        <f t="shared" si="96"/>
        <v>268.39685058071603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3.5897435897435854</v>
      </c>
      <c r="DO96" s="13">
        <f>IF('Données projet'!$A$166&gt;35,DO95+DN96-DW95,IF(A96&lt;'Données projet'!$A$166,$DL$205^A96,IF(A96='Données projet'!$A$166,'Données projet'!$B$166,DO95+DN96-DW95)))</f>
        <v>262.69230769230751</v>
      </c>
      <c r="DP96" s="18">
        <f>DO96*VLOOKUP('Données projet'!$B$14,Paramètres!$A$1:$I$89,3,0)*VLOOKUP('Données projet'!$B$14,Paramètres!$A$1:$I$89,5,0)</f>
        <v>176.21399999999988</v>
      </c>
      <c r="DQ96" s="14">
        <f t="shared" si="97"/>
        <v>44.478831645954152</v>
      </c>
      <c r="DR96" s="22">
        <f t="shared" si="70"/>
        <v>384.37334845003653</v>
      </c>
      <c r="DS96" s="62">
        <f t="shared" si="71"/>
        <v>677.70668178336985</v>
      </c>
      <c r="DT96" s="62">
        <f ca="1">AVERAGE(OFFSET($DS$3,0,0,'Données projet'!$E$14+1,1))-AVERAGE(OFFSET($H$3,0,0,'Données projet'!$E$14+1,1))</f>
        <v>290.46086333591074</v>
      </c>
      <c r="DU96" s="62">
        <f t="shared" si="98"/>
        <v>236.8495901994267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-1.1368683772161603E-13</v>
      </c>
      <c r="EK96" s="18">
        <f>EJ96*VLOOKUP('Données projet'!$B$15,Paramètres!$A$1:$I$89,3,0)*VLOOKUP('Données projet'!$B$15,Paramètres!$A$1:$I$89,5,0)</f>
        <v>-9.2222762759774927E-14</v>
      </c>
      <c r="EL96" s="14" t="e">
        <f t="shared" si="99"/>
        <v>#NUM!</v>
      </c>
      <c r="EM96" s="22" t="e">
        <f t="shared" si="73"/>
        <v>#NUM!</v>
      </c>
      <c r="EN96" s="62" t="e">
        <f t="shared" si="74"/>
        <v>#NUM!</v>
      </c>
      <c r="EO96" s="62">
        <f ca="1">AVERAGE(OFFSET($EN$3,0,0,'Données projet'!$E$15+1,1))-AVERAGE(OFFSET($H$3,0,0,'Données projet'!$E$15+1,1))</f>
        <v>256.19915261735281</v>
      </c>
      <c r="EP96" s="62">
        <f t="shared" si="100"/>
        <v>297.47246687305056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11.333333333333334</v>
      </c>
      <c r="N97" s="14">
        <f>IF('Données projet'!$A$36&gt;35,N96+M97-V96,IF(A97&lt;'Données projet'!$A$36,$K$205^A97,IF(A97='Données projet'!$A$36,'Données projet'!$B$36,N96+M97-V96)))</f>
        <v>534.33333333333303</v>
      </c>
      <c r="O97" s="14">
        <f>N97*VLOOKUP('Données projet'!$B$9,Paramètres!$A$1:$I$89,3,0)*VLOOKUP('Données projet'!$B$9,Paramètres!$A$1:$I$89,5,0)</f>
        <v>458.4579999999998</v>
      </c>
      <c r="P97" s="14">
        <f t="shared" si="87"/>
        <v>103.53241681177968</v>
      </c>
      <c r="Q97" s="22">
        <f t="shared" si="54"/>
        <v>978.79997594718259</v>
      </c>
      <c r="R97" s="62">
        <f t="shared" si="55"/>
        <v>1272.133309280516</v>
      </c>
      <c r="S97" s="62">
        <f ca="1">AVERAGE(OFFSET($R$3,0,0,'Données projet'!$E$9+1,1))-AVERAGE(OFFSET($H$3,0,0,'Données projet'!$E$9+1,1))</f>
        <v>446.27304516866047</v>
      </c>
      <c r="T97" s="62">
        <f t="shared" si="88"/>
        <v>230.82970731138215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-3.4106051316484809E-13</v>
      </c>
      <c r="AJ97" s="14">
        <f>AI97*VLOOKUP('Données projet'!$B$10,Paramètres!$A$1:$I$89,3,0)*VLOOKUP('Données projet'!$B$10,Paramètres!$A$1:$I$89,5,0)</f>
        <v>-2.7134774427395314E-13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427.78067187784063</v>
      </c>
      <c r="AO97" s="62">
        <f t="shared" si="90"/>
        <v>464.22892523825118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1.7053025658242404E-13</v>
      </c>
      <c r="BE97" s="14">
        <f>BD97*VLOOKUP('Données projet'!$B$11,Paramètres!$A$1:$I$89,3,0)*VLOOKUP('Données projet'!$B$11,Paramètres!$A$1:$I$89,5,0)</f>
        <v>1.3301360013429075E-13</v>
      </c>
      <c r="BF97" s="14">
        <f t="shared" si="91"/>
        <v>1.9329766731057041E-12</v>
      </c>
      <c r="BG97" s="22">
        <f t="shared" si="61"/>
        <v>3.5982663925596575E-12</v>
      </c>
      <c r="BH97" s="62">
        <f t="shared" si="62"/>
        <v>293.3333333333369</v>
      </c>
      <c r="BI97" s="62">
        <f ca="1">AVERAGE(OFFSET($BH$3,0,0,'Données projet'!$E$11+1,1))-AVERAGE(OFFSET($H$3,0,0,'Données projet'!$E$11+1,1))</f>
        <v>312.09994042858187</v>
      </c>
      <c r="BJ97" s="62">
        <f t="shared" si="92"/>
        <v>283.48738729114024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-2.2737367544323206E-13</v>
      </c>
      <c r="BZ97" s="14">
        <f>BY97*VLOOKUP('Données projet'!$B$12,Paramètres!$A$1:$I$89,3,0)*VLOOKUP('Données projet'!$B$12,Paramètres!$A$1:$I$89,5,0)</f>
        <v>-1.8089849618263545E-13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370.79299728190904</v>
      </c>
      <c r="CE97" s="62">
        <f t="shared" si="94"/>
        <v>404.95703400805775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3.333333333333337</v>
      </c>
      <c r="CT97" s="13">
        <f>IF('Données projet'!$A$140&gt;35,CT96+CS97-DB96,IF(A97&lt;'Données projet'!$A$140,$CQ$205^A97,IF(A97='Données projet'!$A$140,'Données projet'!$B$140,CT96+CS97-DB96)))</f>
        <v>218.46153846153848</v>
      </c>
      <c r="CU97" s="18">
        <f>CT97*VLOOKUP('Données projet'!$B$13,Paramètres!$A$1:$I$89,3,0)*VLOOKUP('Données projet'!$B$13,Paramètres!$A$1:$I$89,5,0)</f>
        <v>207.88800000000001</v>
      </c>
      <c r="CV97" s="14">
        <f t="shared" si="95"/>
        <v>51.473789402175761</v>
      </c>
      <c r="CW97" s="22">
        <f t="shared" si="67"/>
        <v>451.72178320878947</v>
      </c>
      <c r="CX97" s="62">
        <f t="shared" si="68"/>
        <v>745.05511654212273</v>
      </c>
      <c r="CY97" s="62">
        <f ca="1">AVERAGE(OFFSET($CX$3,0,0,'Données projet'!$E$13+1,1))-AVERAGE(OFFSET($H$3,0,0,'Données projet'!$E$13+1,1))</f>
        <v>351.34897243264044</v>
      </c>
      <c r="CZ97" s="62">
        <f t="shared" si="96"/>
        <v>268.39685058071603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3.5897435897435854</v>
      </c>
      <c r="DO97" s="13">
        <f>IF('Données projet'!$A$166&gt;35,DO96+DN97-DW96,IF(A97&lt;'Données projet'!$A$166,$DL$205^A97,IF(A97='Données projet'!$A$166,'Données projet'!$B$166,DO96+DN97-DW96)))</f>
        <v>266.2820512820511</v>
      </c>
      <c r="DP97" s="18">
        <f>DO97*VLOOKUP('Données projet'!$B$14,Paramètres!$A$1:$I$89,3,0)*VLOOKUP('Données projet'!$B$14,Paramètres!$A$1:$I$89,5,0)</f>
        <v>178.6219999999999</v>
      </c>
      <c r="DQ97" s="14">
        <f t="shared" si="97"/>
        <v>45.015469566404633</v>
      </c>
      <c r="DR97" s="22">
        <f t="shared" si="70"/>
        <v>389.50192616148792</v>
      </c>
      <c r="DS97" s="62">
        <f t="shared" si="71"/>
        <v>682.83525949482123</v>
      </c>
      <c r="DT97" s="62">
        <f ca="1">AVERAGE(OFFSET($DS$3,0,0,'Données projet'!$E$14+1,1))-AVERAGE(OFFSET($H$3,0,0,'Données projet'!$E$14+1,1))</f>
        <v>290.46086333591074</v>
      </c>
      <c r="DU97" s="62">
        <f t="shared" si="98"/>
        <v>236.8495901994267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-1.1368683772161603E-13</v>
      </c>
      <c r="EK97" s="18">
        <f>EJ97*VLOOKUP('Données projet'!$B$15,Paramètres!$A$1:$I$89,3,0)*VLOOKUP('Données projet'!$B$15,Paramètres!$A$1:$I$89,5,0)</f>
        <v>-9.2222762759774927E-14</v>
      </c>
      <c r="EL97" s="14" t="e">
        <f t="shared" si="99"/>
        <v>#NUM!</v>
      </c>
      <c r="EM97" s="22" t="e">
        <f t="shared" si="73"/>
        <v>#NUM!</v>
      </c>
      <c r="EN97" s="62" t="e">
        <f t="shared" si="74"/>
        <v>#NUM!</v>
      </c>
      <c r="EO97" s="62">
        <f ca="1">AVERAGE(OFFSET($EN$3,0,0,'Données projet'!$E$15+1,1))-AVERAGE(OFFSET($H$3,0,0,'Données projet'!$E$15+1,1))</f>
        <v>256.19915261735281</v>
      </c>
      <c r="EP97" s="62">
        <f t="shared" si="100"/>
        <v>297.47246687305056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11.333333333333334</v>
      </c>
      <c r="N98" s="14">
        <f>IF('Données projet'!$A$36&gt;35,N97+M98-V97,IF(A98&lt;'Données projet'!$A$36,$K$205^A98,IF(A98='Données projet'!$A$36,'Données projet'!$B$36,N97+M98-V97)))</f>
        <v>545.6666666666664</v>
      </c>
      <c r="O98" s="14">
        <f>N98*VLOOKUP('Données projet'!$B$9,Paramètres!$A$1:$I$89,3,0)*VLOOKUP('Données projet'!$B$9,Paramètres!$A$1:$I$89,5,0)</f>
        <v>468.18199999999985</v>
      </c>
      <c r="P98" s="14">
        <f t="shared" si="87"/>
        <v>105.47037857558523</v>
      </c>
      <c r="Q98" s="22">
        <f t="shared" si="54"/>
        <v>999.11122601914394</v>
      </c>
      <c r="R98" s="62">
        <f t="shared" si="55"/>
        <v>1292.4445593524772</v>
      </c>
      <c r="S98" s="62">
        <f ca="1">AVERAGE(OFFSET($R$3,0,0,'Données projet'!$E$9+1,1))-AVERAGE(OFFSET($H$3,0,0,'Données projet'!$E$9+1,1))</f>
        <v>446.27304516866047</v>
      </c>
      <c r="T98" s="62">
        <f t="shared" si="88"/>
        <v>230.82970731138215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-3.4106051316484809E-13</v>
      </c>
      <c r="AJ98" s="14">
        <f>AI98*VLOOKUP('Données projet'!$B$10,Paramètres!$A$1:$I$89,3,0)*VLOOKUP('Données projet'!$B$10,Paramètres!$A$1:$I$89,5,0)</f>
        <v>-2.7134774427395314E-13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427.78067187784063</v>
      </c>
      <c r="AO98" s="62">
        <f t="shared" si="90"/>
        <v>464.22892523825118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1.7053025658242404E-13</v>
      </c>
      <c r="BE98" s="14">
        <f>BD98*VLOOKUP('Données projet'!$B$11,Paramètres!$A$1:$I$89,3,0)*VLOOKUP('Données projet'!$B$11,Paramètres!$A$1:$I$89,5,0)</f>
        <v>1.3301360013429075E-13</v>
      </c>
      <c r="BF98" s="14">
        <f t="shared" si="91"/>
        <v>1.9329766731057041E-12</v>
      </c>
      <c r="BG98" s="22">
        <f t="shared" si="61"/>
        <v>3.5982663925596575E-12</v>
      </c>
      <c r="BH98" s="62">
        <f t="shared" si="62"/>
        <v>293.3333333333369</v>
      </c>
      <c r="BI98" s="62">
        <f ca="1">AVERAGE(OFFSET($BH$3,0,0,'Données projet'!$E$11+1,1))-AVERAGE(OFFSET($H$3,0,0,'Données projet'!$E$11+1,1))</f>
        <v>312.09994042858187</v>
      </c>
      <c r="BJ98" s="62">
        <f t="shared" si="92"/>
        <v>283.48738729114024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-2.2737367544323206E-13</v>
      </c>
      <c r="BZ98" s="14">
        <f>BY98*VLOOKUP('Données projet'!$B$12,Paramètres!$A$1:$I$89,3,0)*VLOOKUP('Données projet'!$B$12,Paramètres!$A$1:$I$89,5,0)</f>
        <v>-1.8089849618263545E-13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370.79299728190904</v>
      </c>
      <c r="CE98" s="62">
        <f t="shared" si="94"/>
        <v>404.95703400805775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221.7948717948718</v>
      </c>
      <c r="CR98" s="13">
        <f>VLOOKUP(A98,'Données projet'!$A$139:$I$159,9,0)</f>
        <v>3.333333333333337</v>
      </c>
      <c r="CS98" s="13">
        <f t="array" ref="CS98">INDEX(CR:CR,MIN(IF(ISNUMBER(CR98:CR294),ROW(CR98:CR294),"")))</f>
        <v>3.333333333333337</v>
      </c>
      <c r="CT98" s="13">
        <f>IF('Données projet'!$A$140&gt;35,CT97+CS98-DB97,IF(A98&lt;'Données projet'!$A$140,$CQ$205^A98,IF(A98='Données projet'!$A$140,'Données projet'!$B$140,CT97+CS98-DB97)))</f>
        <v>221.79487179487182</v>
      </c>
      <c r="CU98" s="18">
        <f>CT98*VLOOKUP('Données projet'!$B$13,Paramètres!$A$1:$I$89,3,0)*VLOOKUP('Données projet'!$B$13,Paramètres!$A$1:$I$89,5,0)</f>
        <v>211.06</v>
      </c>
      <c r="CV98" s="14">
        <f t="shared" si="95"/>
        <v>52.167154446757792</v>
      </c>
      <c r="CW98" s="22">
        <f t="shared" si="67"/>
        <v>458.4539606614365</v>
      </c>
      <c r="CX98" s="62">
        <f t="shared" si="68"/>
        <v>751.78729399476981</v>
      </c>
      <c r="CY98" s="62">
        <f ca="1">AVERAGE(OFFSET($CX$3,0,0,'Données projet'!$E$13+1,1))-AVERAGE(OFFSET($H$3,0,0,'Données projet'!$E$13+1,1))</f>
        <v>351.34897243264044</v>
      </c>
      <c r="CZ98" s="62">
        <f t="shared" si="96"/>
        <v>268.39685058071603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269.87179487179486</v>
      </c>
      <c r="DM98" s="13">
        <f>VLOOKUP(A98,'Données projet'!$A$165:$I$185,9,0)</f>
        <v>3.5897435897435854</v>
      </c>
      <c r="DN98" s="13">
        <f t="array" ref="DN98">INDEX(DM:DM,MIN(IF(ISNUMBER(DM98:DM294),ROW(DM98:DM294),"")))</f>
        <v>3.5897435897435854</v>
      </c>
      <c r="DO98" s="13">
        <f>IF('Données projet'!$A$166&gt;35,DO97+DN98-DW97,IF(A98&lt;'Données projet'!$A$166,$DL$205^A98,IF(A98='Données projet'!$A$166,'Données projet'!$B$166,DO97+DN98-DW97)))</f>
        <v>269.87179487179469</v>
      </c>
      <c r="DP98" s="18">
        <f>DO98*VLOOKUP('Données projet'!$B$14,Paramètres!$A$1:$I$89,3,0)*VLOOKUP('Données projet'!$B$14,Paramètres!$A$1:$I$89,5,0)</f>
        <v>181.02999999999989</v>
      </c>
      <c r="DQ98" s="14">
        <f t="shared" si="97"/>
        <v>45.551266035366233</v>
      </c>
      <c r="DR98" s="22">
        <f t="shared" si="70"/>
        <v>394.62903834492931</v>
      </c>
      <c r="DS98" s="62">
        <f t="shared" si="71"/>
        <v>687.96237167826257</v>
      </c>
      <c r="DT98" s="62">
        <f ca="1">AVERAGE(OFFSET($DS$3,0,0,'Données projet'!$E$14+1,1))-AVERAGE(OFFSET($H$3,0,0,'Données projet'!$E$14+1,1))</f>
        <v>290.46086333591074</v>
      </c>
      <c r="DU98" s="62">
        <f t="shared" si="98"/>
        <v>236.8495901994267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-1.1368683772161603E-13</v>
      </c>
      <c r="EK98" s="18">
        <f>EJ98*VLOOKUP('Données projet'!$B$15,Paramètres!$A$1:$I$89,3,0)*VLOOKUP('Données projet'!$B$15,Paramètres!$A$1:$I$89,5,0)</f>
        <v>-9.2222762759774927E-14</v>
      </c>
      <c r="EL98" s="14" t="e">
        <f t="shared" si="99"/>
        <v>#NUM!</v>
      </c>
      <c r="EM98" s="22" t="e">
        <f t="shared" si="73"/>
        <v>#NUM!</v>
      </c>
      <c r="EN98" s="62" t="e">
        <f t="shared" si="74"/>
        <v>#NUM!</v>
      </c>
      <c r="EO98" s="62">
        <f ca="1">AVERAGE(OFFSET($EN$3,0,0,'Données projet'!$E$15+1,1))-AVERAGE(OFFSET($H$3,0,0,'Données projet'!$E$15+1,1))</f>
        <v>256.19915261735281</v>
      </c>
      <c r="EP98" s="62">
        <f t="shared" si="100"/>
        <v>297.47246687305056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>
        <f>VLOOKUP(A99,'Données projet'!$A$35:$I$55,2,0)</f>
        <v>557</v>
      </c>
      <c r="L99" s="13">
        <f>VLOOKUP(A99,'Données projet'!$A$35:$I$55,9,0)</f>
        <v>11.333333333333334</v>
      </c>
      <c r="M99" s="13">
        <f t="array" ref="M99">INDEX(L:L,MIN(IF(ISNUMBER(L99:L295),ROW(L99:L295),"")))</f>
        <v>11.333333333333334</v>
      </c>
      <c r="N99" s="14">
        <f>IF('Données projet'!$A$36&gt;35,N98+M99-V98,IF(A99&lt;'Données projet'!$A$36,$K$205^A99,IF(A99='Données projet'!$A$36,'Données projet'!$B$36,N98+M99-V98)))</f>
        <v>556.99999999999977</v>
      </c>
      <c r="O99" s="14">
        <f>N99*VLOOKUP('Données projet'!$B$9,Paramètres!$A$1:$I$89,3,0)*VLOOKUP('Données projet'!$B$9,Paramètres!$A$1:$I$89,5,0)</f>
        <v>477.90599999999989</v>
      </c>
      <c r="P99" s="14">
        <f t="shared" si="87"/>
        <v>107.4036604395269</v>
      </c>
      <c r="Q99" s="22">
        <f t="shared" ref="Q99:Q130" si="107">(O99+P99)*0.475*44/12</f>
        <v>1019.4143252655093</v>
      </c>
      <c r="R99" s="62">
        <f t="shared" si="55"/>
        <v>1312.7476585988427</v>
      </c>
      <c r="S99" s="62">
        <f ca="1">AVERAGE(OFFSET($R$3,0,0,'Données projet'!$E$9+1,1))-AVERAGE(OFFSET($H$3,0,0,'Données projet'!$E$9+1,1))</f>
        <v>446.27304516866047</v>
      </c>
      <c r="T99" s="62">
        <f t="shared" si="88"/>
        <v>230.82970731138215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-3.4106051316484809E-13</v>
      </c>
      <c r="AJ99" s="14">
        <f>AI99*VLOOKUP('Données projet'!$B$10,Paramètres!$A$1:$I$89,3,0)*VLOOKUP('Données projet'!$B$10,Paramètres!$A$1:$I$89,5,0)</f>
        <v>-2.7134774427395314E-13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427.78067187784063</v>
      </c>
      <c r="AO99" s="62">
        <f t="shared" si="90"/>
        <v>464.22892523825118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1.7053025658242404E-13</v>
      </c>
      <c r="BE99" s="14">
        <f>BD99*VLOOKUP('Données projet'!$B$11,Paramètres!$A$1:$I$89,3,0)*VLOOKUP('Données projet'!$B$11,Paramètres!$A$1:$I$89,5,0)</f>
        <v>1.3301360013429075E-13</v>
      </c>
      <c r="BF99" s="14">
        <f t="shared" si="91"/>
        <v>1.9329766731057041E-12</v>
      </c>
      <c r="BG99" s="22">
        <f t="shared" si="61"/>
        <v>3.5982663925596575E-12</v>
      </c>
      <c r="BH99" s="62">
        <f t="shared" si="62"/>
        <v>293.3333333333369</v>
      </c>
      <c r="BI99" s="62">
        <f ca="1">AVERAGE(OFFSET($BH$3,0,0,'Données projet'!$E$11+1,1))-AVERAGE(OFFSET($H$3,0,0,'Données projet'!$E$11+1,1))</f>
        <v>312.09994042858187</v>
      </c>
      <c r="BJ99" s="62">
        <f t="shared" si="92"/>
        <v>283.48738729114024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-2.2737367544323206E-13</v>
      </c>
      <c r="BZ99" s="14">
        <f>BY99*VLOOKUP('Données projet'!$B$12,Paramètres!$A$1:$I$89,3,0)*VLOOKUP('Données projet'!$B$12,Paramètres!$A$1:$I$89,5,0)</f>
        <v>-1.8089849618263545E-13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370.79299728190904</v>
      </c>
      <c r="CE99" s="62">
        <f t="shared" si="94"/>
        <v>404.95703400805775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3.2051282051282044</v>
      </c>
      <c r="CT99" s="13">
        <f>IF('Données projet'!$A$140&gt;35,CT98+CS99-DB98,IF(A99&lt;'Données projet'!$A$140,$CQ$205^A99,IF(A99='Données projet'!$A$140,'Données projet'!$B$140,CT98+CS99-DB98)))</f>
        <v>225.00000000000003</v>
      </c>
      <c r="CU99" s="18">
        <f>CT99*VLOOKUP('Données projet'!$B$13,Paramètres!$A$1:$I$89,3,0)*VLOOKUP('Données projet'!$B$13,Paramètres!$A$1:$I$89,5,0)</f>
        <v>214.11000000000004</v>
      </c>
      <c r="CV99" s="14">
        <f t="shared" si="95"/>
        <v>52.832708448119902</v>
      </c>
      <c r="CW99" s="22">
        <f t="shared" si="67"/>
        <v>464.92521721380893</v>
      </c>
      <c r="CX99" s="62">
        <f t="shared" si="68"/>
        <v>758.25855054714225</v>
      </c>
      <c r="CY99" s="62">
        <f ca="1">AVERAGE(OFFSET($CX$3,0,0,'Données projet'!$E$13+1,1))-AVERAGE(OFFSET($H$3,0,0,'Données projet'!$E$13+1,1))</f>
        <v>351.34897243264044</v>
      </c>
      <c r="CZ99" s="62">
        <f t="shared" si="96"/>
        <v>268.39685058071603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3.333333333333337</v>
      </c>
      <c r="DO99" s="13">
        <f>IF('Données projet'!$A$166&gt;35,DO98+DN99-DW98,IF(A99&lt;'Données projet'!$A$166,$DL$205^A99,IF(A99='Données projet'!$A$166,'Données projet'!$B$166,DO98+DN99-DW98)))</f>
        <v>273.20512820512801</v>
      </c>
      <c r="DP99" s="18">
        <f>DO99*VLOOKUP('Données projet'!$B$14,Paramètres!$A$1:$I$89,3,0)*VLOOKUP('Données projet'!$B$14,Paramètres!$A$1:$I$89,5,0)</f>
        <v>183.26599999999988</v>
      </c>
      <c r="DQ99" s="14">
        <f t="shared" si="97"/>
        <v>46.048048805304745</v>
      </c>
      <c r="DR99" s="22">
        <f t="shared" si="70"/>
        <v>399.38863500257224</v>
      </c>
      <c r="DS99" s="62">
        <f t="shared" si="71"/>
        <v>692.72196833590556</v>
      </c>
      <c r="DT99" s="62">
        <f ca="1">AVERAGE(OFFSET($DS$3,0,0,'Données projet'!$E$14+1,1))-AVERAGE(OFFSET($H$3,0,0,'Données projet'!$E$14+1,1))</f>
        <v>290.46086333591074</v>
      </c>
      <c r="DU99" s="62">
        <f t="shared" si="98"/>
        <v>236.8495901994267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-1.1368683772161603E-13</v>
      </c>
      <c r="EK99" s="18">
        <f>EJ99*VLOOKUP('Données projet'!$B$15,Paramètres!$A$1:$I$89,3,0)*VLOOKUP('Données projet'!$B$15,Paramètres!$A$1:$I$89,5,0)</f>
        <v>-9.2222762759774927E-14</v>
      </c>
      <c r="EL99" s="14" t="e">
        <f t="shared" si="99"/>
        <v>#NUM!</v>
      </c>
      <c r="EM99" s="22" t="e">
        <f t="shared" si="73"/>
        <v>#NUM!</v>
      </c>
      <c r="EN99" s="62" t="e">
        <f t="shared" si="74"/>
        <v>#NUM!</v>
      </c>
      <c r="EO99" s="62">
        <f ca="1">AVERAGE(OFFSET($EN$3,0,0,'Données projet'!$E$15+1,1))-AVERAGE(OFFSET($H$3,0,0,'Données projet'!$E$15+1,1))</f>
        <v>256.19915261735281</v>
      </c>
      <c r="EP99" s="62">
        <f t="shared" si="100"/>
        <v>297.47246687305056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11.333333333333334</v>
      </c>
      <c r="N100" s="14">
        <f>IF('Données projet'!$A$36&gt;35,N99+M100-V99,IF(A100&lt;'Données projet'!$A$36,$K$205^A100,IF(A100='Données projet'!$A$36,'Données projet'!$B$36,N99+M100-V99)))</f>
        <v>568.33333333333314</v>
      </c>
      <c r="O100" s="14">
        <f>N100*VLOOKUP('Données projet'!$B$9,Paramètres!$A$1:$I$89,3,0)*VLOOKUP('Données projet'!$B$9,Paramètres!$A$1:$I$89,5,0)</f>
        <v>487.62999999999988</v>
      </c>
      <c r="P100" s="14">
        <f t="shared" si="87"/>
        <v>109.33236859887117</v>
      </c>
      <c r="Q100" s="22">
        <f t="shared" si="107"/>
        <v>1039.7094586430337</v>
      </c>
      <c r="R100" s="62">
        <f t="shared" si="55"/>
        <v>1333.042791976367</v>
      </c>
      <c r="S100" s="62">
        <f ca="1">AVERAGE(OFFSET($R$3,0,0,'Données projet'!$E$9+1,1))-AVERAGE(OFFSET($H$3,0,0,'Données projet'!$E$9+1,1))</f>
        <v>446.27304516866047</v>
      </c>
      <c r="T100" s="62">
        <f t="shared" si="88"/>
        <v>230.82970731138215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-3.4106051316484809E-13</v>
      </c>
      <c r="AJ100" s="14">
        <f>AI100*VLOOKUP('Données projet'!$B$10,Paramètres!$A$1:$I$89,3,0)*VLOOKUP('Données projet'!$B$10,Paramètres!$A$1:$I$89,5,0)</f>
        <v>-2.7134774427395314E-13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427.78067187784063</v>
      </c>
      <c r="AO100" s="62">
        <f t="shared" si="90"/>
        <v>464.22892523825118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1.7053025658242404E-13</v>
      </c>
      <c r="BE100" s="14">
        <f>BD100*VLOOKUP('Données projet'!$B$11,Paramètres!$A$1:$I$89,3,0)*VLOOKUP('Données projet'!$B$11,Paramètres!$A$1:$I$89,5,0)</f>
        <v>1.3301360013429075E-13</v>
      </c>
      <c r="BF100" s="14">
        <f t="shared" si="91"/>
        <v>1.9329766731057041E-12</v>
      </c>
      <c r="BG100" s="22">
        <f t="shared" si="61"/>
        <v>3.5982663925596575E-12</v>
      </c>
      <c r="BH100" s="62">
        <f t="shared" si="62"/>
        <v>293.3333333333369</v>
      </c>
      <c r="BI100" s="62">
        <f ca="1">AVERAGE(OFFSET($BH$3,0,0,'Données projet'!$E$11+1,1))-AVERAGE(OFFSET($H$3,0,0,'Données projet'!$E$11+1,1))</f>
        <v>312.09994042858187</v>
      </c>
      <c r="BJ100" s="62">
        <f t="shared" si="92"/>
        <v>283.48738729114024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-2.2737367544323206E-13</v>
      </c>
      <c r="BZ100" s="14">
        <f>BY100*VLOOKUP('Données projet'!$B$12,Paramètres!$A$1:$I$89,3,0)*VLOOKUP('Données projet'!$B$12,Paramètres!$A$1:$I$89,5,0)</f>
        <v>-1.8089849618263545E-13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370.79299728190904</v>
      </c>
      <c r="CE100" s="62">
        <f t="shared" si="94"/>
        <v>404.95703400805775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3.2051282051282044</v>
      </c>
      <c r="CT100" s="13">
        <f>IF('Données projet'!$A$140&gt;35,CT99+CS100-DB99,IF(A100&lt;'Données projet'!$A$140,$CQ$205^A100,IF(A100='Données projet'!$A$140,'Données projet'!$B$140,CT99+CS100-DB99)))</f>
        <v>228.20512820512823</v>
      </c>
      <c r="CU100" s="18">
        <f>CT100*VLOOKUP('Données projet'!$B$13,Paramètres!$A$1:$I$89,3,0)*VLOOKUP('Données projet'!$B$13,Paramètres!$A$1:$I$89,5,0)</f>
        <v>217.16000000000005</v>
      </c>
      <c r="CV100" s="14">
        <f t="shared" si="95"/>
        <v>53.497159756294508</v>
      </c>
      <c r="CW100" s="22">
        <f t="shared" si="67"/>
        <v>471.39455324221302</v>
      </c>
      <c r="CX100" s="62">
        <f t="shared" si="68"/>
        <v>764.72788657554634</v>
      </c>
      <c r="CY100" s="62">
        <f ca="1">AVERAGE(OFFSET($CX$3,0,0,'Données projet'!$E$13+1,1))-AVERAGE(OFFSET($H$3,0,0,'Données projet'!$E$13+1,1))</f>
        <v>351.34897243264044</v>
      </c>
      <c r="CZ100" s="62">
        <f t="shared" si="96"/>
        <v>268.39685058071603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3.333333333333337</v>
      </c>
      <c r="DO100" s="13">
        <f>IF('Données projet'!$A$166&gt;35,DO99+DN100-DW99,IF(A100&lt;'Données projet'!$A$166,$DL$205^A100,IF(A100='Données projet'!$A$166,'Données projet'!$B$166,DO99+DN100-DW99)))</f>
        <v>276.53846153846132</v>
      </c>
      <c r="DP100" s="18">
        <f>DO100*VLOOKUP('Données projet'!$B$14,Paramètres!$A$1:$I$89,3,0)*VLOOKUP('Données projet'!$B$14,Paramètres!$A$1:$I$89,5,0)</f>
        <v>185.50199999999987</v>
      </c>
      <c r="DQ100" s="14">
        <f t="shared" si="97"/>
        <v>46.544126537371142</v>
      </c>
      <c r="DR100" s="22">
        <f t="shared" si="70"/>
        <v>404.14700371925454</v>
      </c>
      <c r="DS100" s="62">
        <f t="shared" si="71"/>
        <v>697.48033705258786</v>
      </c>
      <c r="DT100" s="62">
        <f ca="1">AVERAGE(OFFSET($DS$3,0,0,'Données projet'!$E$14+1,1))-AVERAGE(OFFSET($H$3,0,0,'Données projet'!$E$14+1,1))</f>
        <v>290.46086333591074</v>
      </c>
      <c r="DU100" s="62">
        <f t="shared" si="98"/>
        <v>236.8495901994267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-1.1368683772161603E-13</v>
      </c>
      <c r="EK100" s="18">
        <f>EJ100*VLOOKUP('Données projet'!$B$15,Paramètres!$A$1:$I$89,3,0)*VLOOKUP('Données projet'!$B$15,Paramètres!$A$1:$I$89,5,0)</f>
        <v>-9.2222762759774927E-14</v>
      </c>
      <c r="EL100" s="14" t="e">
        <f t="shared" si="99"/>
        <v>#NUM!</v>
      </c>
      <c r="EM100" s="22" t="e">
        <f t="shared" si="73"/>
        <v>#NUM!</v>
      </c>
      <c r="EN100" s="62" t="e">
        <f t="shared" si="74"/>
        <v>#NUM!</v>
      </c>
      <c r="EO100" s="62">
        <f ca="1">AVERAGE(OFFSET($EN$3,0,0,'Données projet'!$E$15+1,1))-AVERAGE(OFFSET($H$3,0,0,'Données projet'!$E$15+1,1))</f>
        <v>256.19915261735281</v>
      </c>
      <c r="EP100" s="62">
        <f t="shared" si="100"/>
        <v>297.47246687305056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11.333333333333334</v>
      </c>
      <c r="N101" s="14">
        <f>IF('Données projet'!$A$36&gt;35,N100+M101-V100,IF(A101&lt;'Données projet'!$A$36,$K$205^A101,IF(A101='Données projet'!$A$36,'Données projet'!$B$36,N100+M101-V100)))</f>
        <v>579.66666666666652</v>
      </c>
      <c r="O101" s="14">
        <f>N101*VLOOKUP('Données projet'!$B$9,Paramètres!$A$1:$I$89,3,0)*VLOOKUP('Données projet'!$B$9,Paramètres!$A$1:$I$89,5,0)</f>
        <v>497.35399999999993</v>
      </c>
      <c r="P101" s="14">
        <f t="shared" si="87"/>
        <v>111.25660477134088</v>
      </c>
      <c r="Q101" s="22">
        <f t="shared" si="107"/>
        <v>1059.9968033100852</v>
      </c>
      <c r="R101" s="62">
        <f t="shared" si="55"/>
        <v>1353.3301366434184</v>
      </c>
      <c r="S101" s="62">
        <f ca="1">AVERAGE(OFFSET($R$3,0,0,'Données projet'!$E$9+1,1))-AVERAGE(OFFSET($H$3,0,0,'Données projet'!$E$9+1,1))</f>
        <v>446.27304516866047</v>
      </c>
      <c r="T101" s="62">
        <f t="shared" si="88"/>
        <v>230.82970731138215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-3.4106051316484809E-13</v>
      </c>
      <c r="AJ101" s="14">
        <f>AI101*VLOOKUP('Données projet'!$B$10,Paramètres!$A$1:$I$89,3,0)*VLOOKUP('Données projet'!$B$10,Paramètres!$A$1:$I$89,5,0)</f>
        <v>-2.7134774427395314E-13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427.78067187784063</v>
      </c>
      <c r="AO101" s="62">
        <f t="shared" si="90"/>
        <v>464.22892523825118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1.7053025658242404E-13</v>
      </c>
      <c r="BE101" s="14">
        <f>BD101*VLOOKUP('Données projet'!$B$11,Paramètres!$A$1:$I$89,3,0)*VLOOKUP('Données projet'!$B$11,Paramètres!$A$1:$I$89,5,0)</f>
        <v>1.3301360013429075E-13</v>
      </c>
      <c r="BF101" s="14">
        <f t="shared" si="91"/>
        <v>1.9329766731057041E-12</v>
      </c>
      <c r="BG101" s="22">
        <f t="shared" si="61"/>
        <v>3.5982663925596575E-12</v>
      </c>
      <c r="BH101" s="62">
        <f t="shared" si="62"/>
        <v>293.3333333333369</v>
      </c>
      <c r="BI101" s="62">
        <f ca="1">AVERAGE(OFFSET($BH$3,0,0,'Données projet'!$E$11+1,1))-AVERAGE(OFFSET($H$3,0,0,'Données projet'!$E$11+1,1))</f>
        <v>312.09994042858187</v>
      </c>
      <c r="BJ101" s="62">
        <f t="shared" si="92"/>
        <v>283.48738729114024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-2.2737367544323206E-13</v>
      </c>
      <c r="BZ101" s="14">
        <f>BY101*VLOOKUP('Données projet'!$B$12,Paramètres!$A$1:$I$89,3,0)*VLOOKUP('Données projet'!$B$12,Paramètres!$A$1:$I$89,5,0)</f>
        <v>-1.8089849618263545E-13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370.79299728190904</v>
      </c>
      <c r="CE101" s="62">
        <f t="shared" si="94"/>
        <v>404.95703400805775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3.2051282051282044</v>
      </c>
      <c r="CT101" s="13">
        <f>IF('Données projet'!$A$140&gt;35,CT100+CS101-DB100,IF(A101&lt;'Données projet'!$A$140,$CQ$205^A101,IF(A101='Données projet'!$A$140,'Données projet'!$B$140,CT100+CS101-DB100)))</f>
        <v>231.41025641025644</v>
      </c>
      <c r="CU101" s="18">
        <f>CT101*VLOOKUP('Données projet'!$B$13,Paramètres!$A$1:$I$89,3,0)*VLOOKUP('Données projet'!$B$13,Paramètres!$A$1:$I$89,5,0)</f>
        <v>220.21000000000004</v>
      </c>
      <c r="CV101" s="14">
        <f t="shared" si="95"/>
        <v>54.16052564828076</v>
      </c>
      <c r="CW101" s="22">
        <f t="shared" si="67"/>
        <v>477.86199883742233</v>
      </c>
      <c r="CX101" s="62">
        <f t="shared" si="68"/>
        <v>771.19533217075559</v>
      </c>
      <c r="CY101" s="62">
        <f ca="1">AVERAGE(OFFSET($CX$3,0,0,'Données projet'!$E$13+1,1))-AVERAGE(OFFSET($H$3,0,0,'Données projet'!$E$13+1,1))</f>
        <v>351.34897243264044</v>
      </c>
      <c r="CZ101" s="62">
        <f t="shared" si="96"/>
        <v>268.39685058071603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3.333333333333337</v>
      </c>
      <c r="DO101" s="13">
        <f>IF('Données projet'!$A$166&gt;35,DO100+DN101-DW100,IF(A101&lt;'Données projet'!$A$166,$DL$205^A101,IF(A101='Données projet'!$A$166,'Données projet'!$B$166,DO100+DN101-DW100)))</f>
        <v>279.87179487179463</v>
      </c>
      <c r="DP101" s="18">
        <f>DO101*VLOOKUP('Données projet'!$B$14,Paramètres!$A$1:$I$89,3,0)*VLOOKUP('Données projet'!$B$14,Paramètres!$A$1:$I$89,5,0)</f>
        <v>187.73799999999986</v>
      </c>
      <c r="DQ101" s="14">
        <f t="shared" si="97"/>
        <v>47.039508712954913</v>
      </c>
      <c r="DR101" s="22">
        <f t="shared" si="70"/>
        <v>408.90416100839622</v>
      </c>
      <c r="DS101" s="62">
        <f t="shared" si="71"/>
        <v>702.23749434172953</v>
      </c>
      <c r="DT101" s="62">
        <f ca="1">AVERAGE(OFFSET($DS$3,0,0,'Données projet'!$E$14+1,1))-AVERAGE(OFFSET($H$3,0,0,'Données projet'!$E$14+1,1))</f>
        <v>290.46086333591074</v>
      </c>
      <c r="DU101" s="62">
        <f t="shared" si="98"/>
        <v>236.8495901994267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-1.1368683772161603E-13</v>
      </c>
      <c r="EK101" s="18">
        <f>EJ101*VLOOKUP('Données projet'!$B$15,Paramètres!$A$1:$I$89,3,0)*VLOOKUP('Données projet'!$B$15,Paramètres!$A$1:$I$89,5,0)</f>
        <v>-9.2222762759774927E-14</v>
      </c>
      <c r="EL101" s="14" t="e">
        <f t="shared" si="99"/>
        <v>#NUM!</v>
      </c>
      <c r="EM101" s="22" t="e">
        <f t="shared" si="73"/>
        <v>#NUM!</v>
      </c>
      <c r="EN101" s="62" t="e">
        <f t="shared" si="74"/>
        <v>#NUM!</v>
      </c>
      <c r="EO101" s="62">
        <f ca="1">AVERAGE(OFFSET($EN$3,0,0,'Données projet'!$E$15+1,1))-AVERAGE(OFFSET($H$3,0,0,'Données projet'!$E$15+1,1))</f>
        <v>256.19915261735281</v>
      </c>
      <c r="EP101" s="62">
        <f t="shared" si="100"/>
        <v>297.47246687305056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>
        <f>VLOOKUP(A102,'Données projet'!$A$35:$I$55,2,0)</f>
        <v>591</v>
      </c>
      <c r="L102" s="13">
        <f>VLOOKUP(A102,'Données projet'!$A$35:$I$55,9,0)</f>
        <v>11.333333333333334</v>
      </c>
      <c r="M102" s="13">
        <f t="array" ref="M102">INDEX(L:L,MIN(IF(ISNUMBER(L102:L298),ROW(L102:L298),"")))</f>
        <v>11.333333333333334</v>
      </c>
      <c r="N102" s="14">
        <f>IF('Données projet'!$A$36&gt;35,N101+M102-V101,IF(A102&lt;'Données projet'!$A$36,$K$205^A102,IF(A102='Données projet'!$A$36,'Données projet'!$B$36,N101+M102-V101)))</f>
        <v>590.99999999999989</v>
      </c>
      <c r="O102" s="14">
        <f>N102*VLOOKUP('Données projet'!$B$9,Paramètres!$A$1:$I$89,3,0)*VLOOKUP('Données projet'!$B$9,Paramètres!$A$1:$I$89,5,0)</f>
        <v>507.07799999999997</v>
      </c>
      <c r="P102" s="14">
        <f t="shared" si="87"/>
        <v>113.17646646969149</v>
      </c>
      <c r="Q102" s="22">
        <f t="shared" si="107"/>
        <v>1080.2765291013793</v>
      </c>
      <c r="R102" s="62">
        <f t="shared" si="55"/>
        <v>1373.6098624347126</v>
      </c>
      <c r="S102" s="62">
        <f ca="1">AVERAGE(OFFSET($R$3,0,0,'Données projet'!$E$9+1,1))-AVERAGE(OFFSET($H$3,0,0,'Données projet'!$E$9+1,1))</f>
        <v>446.27304516866047</v>
      </c>
      <c r="T102" s="62">
        <f t="shared" si="88"/>
        <v>230.82970731138215</v>
      </c>
      <c r="U102" s="16">
        <f>IF(ISNA(VLOOKUP(A102,'Données projet'!$A$35:$I$55,3,0)),0,VLOOKUP(A102,'Données projet'!$A$35:$I$55,3,0))</f>
        <v>10</v>
      </c>
      <c r="V102" s="16">
        <f>IF(ISNA(VLOOKUP(A102,'Données projet'!$A$35:$I$55,4,0)),0,VLOOKUP(A102,'Données projet'!$A$35:$I$55,4,0))</f>
        <v>591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-3.4106051316484809E-13</v>
      </c>
      <c r="AJ102" s="14">
        <f>AI102*VLOOKUP('Données projet'!$B$10,Paramètres!$A$1:$I$89,3,0)*VLOOKUP('Données projet'!$B$10,Paramètres!$A$1:$I$89,5,0)</f>
        <v>-2.7134774427395314E-13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427.78067187784063</v>
      </c>
      <c r="AO102" s="62">
        <f t="shared" si="90"/>
        <v>464.22892523825118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1.7053025658242404E-13</v>
      </c>
      <c r="BE102" s="14">
        <f>BD102*VLOOKUP('Données projet'!$B$11,Paramètres!$A$1:$I$89,3,0)*VLOOKUP('Données projet'!$B$11,Paramètres!$A$1:$I$89,5,0)</f>
        <v>1.3301360013429075E-13</v>
      </c>
      <c r="BF102" s="14">
        <f t="shared" si="91"/>
        <v>1.9329766731057041E-12</v>
      </c>
      <c r="BG102" s="22">
        <f t="shared" si="61"/>
        <v>3.5982663925596575E-12</v>
      </c>
      <c r="BH102" s="62">
        <f t="shared" si="62"/>
        <v>293.3333333333369</v>
      </c>
      <c r="BI102" s="62">
        <f ca="1">AVERAGE(OFFSET($BH$3,0,0,'Données projet'!$E$11+1,1))-AVERAGE(OFFSET($H$3,0,0,'Données projet'!$E$11+1,1))</f>
        <v>312.09994042858187</v>
      </c>
      <c r="BJ102" s="62">
        <f t="shared" si="92"/>
        <v>283.48738729114024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-2.2737367544323206E-13</v>
      </c>
      <c r="BZ102" s="14">
        <f>BY102*VLOOKUP('Données projet'!$B$12,Paramètres!$A$1:$I$89,3,0)*VLOOKUP('Données projet'!$B$12,Paramètres!$A$1:$I$89,5,0)</f>
        <v>-1.8089849618263545E-13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370.79299728190904</v>
      </c>
      <c r="CE102" s="62">
        <f t="shared" si="94"/>
        <v>404.95703400805775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3.2051282051282044</v>
      </c>
      <c r="CT102" s="13">
        <f>IF('Données projet'!$A$140&gt;35,CT101+CS102-DB101,IF(A102&lt;'Données projet'!$A$140,$CQ$205^A102,IF(A102='Données projet'!$A$140,'Données projet'!$B$140,CT101+CS102-DB101)))</f>
        <v>234.61538461538464</v>
      </c>
      <c r="CU102" s="18">
        <f>CT102*VLOOKUP('Données projet'!$B$13,Paramètres!$A$1:$I$89,3,0)*VLOOKUP('Données projet'!$B$13,Paramètres!$A$1:$I$89,5,0)</f>
        <v>223.26000000000005</v>
      </c>
      <c r="CV102" s="14">
        <f t="shared" si="95"/>
        <v>54.82282289499679</v>
      </c>
      <c r="CW102" s="22">
        <f t="shared" si="67"/>
        <v>484.32758320878617</v>
      </c>
      <c r="CX102" s="62">
        <f t="shared" si="68"/>
        <v>777.66091654211948</v>
      </c>
      <c r="CY102" s="62">
        <f ca="1">AVERAGE(OFFSET($CX$3,0,0,'Données projet'!$E$13+1,1))-AVERAGE(OFFSET($H$3,0,0,'Données projet'!$E$13+1,1))</f>
        <v>351.34897243264044</v>
      </c>
      <c r="CZ102" s="62">
        <f t="shared" si="96"/>
        <v>268.39685058071603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3.333333333333337</v>
      </c>
      <c r="DO102" s="13">
        <f>IF('Données projet'!$A$166&gt;35,DO101+DN102-DW101,IF(A102&lt;'Données projet'!$A$166,$DL$205^A102,IF(A102='Données projet'!$A$166,'Données projet'!$B$166,DO101+DN102-DW101)))</f>
        <v>283.20512820512795</v>
      </c>
      <c r="DP102" s="18">
        <f>DO102*VLOOKUP('Données projet'!$B$14,Paramètres!$A$1:$I$89,3,0)*VLOOKUP('Données projet'!$B$14,Paramètres!$A$1:$I$89,5,0)</f>
        <v>189.97399999999982</v>
      </c>
      <c r="DQ102" s="14">
        <f t="shared" si="97"/>
        <v>47.534204574599109</v>
      </c>
      <c r="DR102" s="22">
        <f t="shared" si="70"/>
        <v>413.6601229674265</v>
      </c>
      <c r="DS102" s="62">
        <f t="shared" si="71"/>
        <v>706.99345630075982</v>
      </c>
      <c r="DT102" s="62">
        <f ca="1">AVERAGE(OFFSET($DS$3,0,0,'Données projet'!$E$14+1,1))-AVERAGE(OFFSET($H$3,0,0,'Données projet'!$E$14+1,1))</f>
        <v>290.46086333591074</v>
      </c>
      <c r="DU102" s="62">
        <f t="shared" si="98"/>
        <v>236.8495901994267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-1.1368683772161603E-13</v>
      </c>
      <c r="EK102" s="18">
        <f>EJ102*VLOOKUP('Données projet'!$B$15,Paramètres!$A$1:$I$89,3,0)*VLOOKUP('Données projet'!$B$15,Paramètres!$A$1:$I$89,5,0)</f>
        <v>-9.2222762759774927E-14</v>
      </c>
      <c r="EL102" s="14" t="e">
        <f t="shared" si="99"/>
        <v>#NUM!</v>
      </c>
      <c r="EM102" s="22" t="e">
        <f t="shared" si="73"/>
        <v>#NUM!</v>
      </c>
      <c r="EN102" s="62" t="e">
        <f t="shared" si="74"/>
        <v>#NUM!</v>
      </c>
      <c r="EO102" s="62">
        <f ca="1">AVERAGE(OFFSET($EN$3,0,0,'Données projet'!$E$15+1,1))-AVERAGE(OFFSET($H$3,0,0,'Données projet'!$E$15+1,1))</f>
        <v>256.19915261735281</v>
      </c>
      <c r="EP102" s="62">
        <f t="shared" si="100"/>
        <v>297.47246687305056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-1.1368683772161603E-13</v>
      </c>
      <c r="O103" s="14">
        <f>N103*VLOOKUP('Données projet'!$B$9,Paramètres!$A$1:$I$89,3,0)*VLOOKUP('Données projet'!$B$9,Paramètres!$A$1:$I$89,5,0)</f>
        <v>-9.7543306765146564E-14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446.27304516866047</v>
      </c>
      <c r="T103" s="62">
        <f t="shared" si="88"/>
        <v>230.82970731138215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-3.4106051316484809E-13</v>
      </c>
      <c r="AJ103" s="14">
        <f>AI103*VLOOKUP('Données projet'!$B$10,Paramètres!$A$1:$I$89,3,0)*VLOOKUP('Données projet'!$B$10,Paramètres!$A$1:$I$89,5,0)</f>
        <v>-2.7134774427395314E-13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427.78067187784063</v>
      </c>
      <c r="AO103" s="62">
        <f t="shared" si="90"/>
        <v>464.22892523825118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1.7053025658242404E-13</v>
      </c>
      <c r="BE103" s="14">
        <f>BD103*VLOOKUP('Données projet'!$B$11,Paramètres!$A$1:$I$89,3,0)*VLOOKUP('Données projet'!$B$11,Paramètres!$A$1:$I$89,5,0)</f>
        <v>1.3301360013429075E-13</v>
      </c>
      <c r="BF103" s="14">
        <f t="shared" si="91"/>
        <v>1.9329766731057041E-12</v>
      </c>
      <c r="BG103" s="22">
        <f t="shared" si="61"/>
        <v>3.5982663925596575E-12</v>
      </c>
      <c r="BH103" s="62">
        <f t="shared" si="62"/>
        <v>293.3333333333369</v>
      </c>
      <c r="BI103" s="62">
        <f ca="1">AVERAGE(OFFSET($BH$3,0,0,'Données projet'!$E$11+1,1))-AVERAGE(OFFSET($H$3,0,0,'Données projet'!$E$11+1,1))</f>
        <v>312.09994042858187</v>
      </c>
      <c r="BJ103" s="62">
        <f t="shared" si="92"/>
        <v>283.48738729114024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-2.2737367544323206E-13</v>
      </c>
      <c r="BZ103" s="14">
        <f>BY103*VLOOKUP('Données projet'!$B$12,Paramètres!$A$1:$I$89,3,0)*VLOOKUP('Données projet'!$B$12,Paramètres!$A$1:$I$89,5,0)</f>
        <v>-1.8089849618263545E-13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370.79299728190904</v>
      </c>
      <c r="CE103" s="62">
        <f t="shared" si="94"/>
        <v>404.95703400805775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237.82051282051282</v>
      </c>
      <c r="CR103" s="13">
        <f>VLOOKUP(A103,'Données projet'!$A$139:$I$159,9,0)</f>
        <v>3.2051282051282044</v>
      </c>
      <c r="CS103" s="13">
        <f t="array" ref="CS103">INDEX(CR:CR,MIN(IF(ISNUMBER(CR103:CR299),ROW(CR103:CR299),"")))</f>
        <v>3.2051282051282044</v>
      </c>
      <c r="CT103" s="13">
        <f>IF('Données projet'!$A$140&gt;35,CT102+CS103-DB102,IF(A103&lt;'Données projet'!$A$140,$CQ$205^A103,IF(A103='Données projet'!$A$140,'Données projet'!$B$140,CT102+CS103-DB102)))</f>
        <v>237.82051282051285</v>
      </c>
      <c r="CU103" s="18">
        <f>CT103*VLOOKUP('Données projet'!$B$13,Paramètres!$A$1:$I$89,3,0)*VLOOKUP('Données projet'!$B$13,Paramètres!$A$1:$I$89,5,0)</f>
        <v>226.31000000000006</v>
      </c>
      <c r="CV103" s="14">
        <f t="shared" si="95"/>
        <v>55.484067782810527</v>
      </c>
      <c r="CW103" s="22">
        <f t="shared" si="67"/>
        <v>490.79133472172845</v>
      </c>
      <c r="CX103" s="62">
        <f t="shared" si="68"/>
        <v>784.12466805506176</v>
      </c>
      <c r="CY103" s="62">
        <f ca="1">AVERAGE(OFFSET($CX$3,0,0,'Données projet'!$E$13+1,1))-AVERAGE(OFFSET($H$3,0,0,'Données projet'!$E$13+1,1))</f>
        <v>351.34897243264044</v>
      </c>
      <c r="CZ103" s="62">
        <f t="shared" si="96"/>
        <v>268.39685058071603</v>
      </c>
      <c r="DA103" s="16">
        <f>IF(ISNA(VLOOKUP(A103,'Données projet'!$A$139:$I$159,3,0)),0,VLOOKUP(A103,'Données projet'!$A$139:$I$159,3,0))</f>
        <v>9</v>
      </c>
      <c r="DB103" s="16">
        <f>IF(ISNA(VLOOKUP(A103,'Données projet'!$A$139:$I$159,4,0)),0,VLOOKUP(A103,'Données projet'!$A$139:$I$159,4,0))</f>
        <v>23.076923076923077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286.53846153846155</v>
      </c>
      <c r="DM103" s="13">
        <f>VLOOKUP(A103,'Données projet'!$A$165:$I$185,9,0)</f>
        <v>3.333333333333337</v>
      </c>
      <c r="DN103" s="13">
        <f t="array" ref="DN103">INDEX(DM:DM,MIN(IF(ISNUMBER(DM103:DM299),ROW(DM103:DM299),"")))</f>
        <v>3.333333333333337</v>
      </c>
      <c r="DO103" s="13">
        <f>IF('Données projet'!$A$166&gt;35,DO102+DN103-DW102,IF(A103&lt;'Données projet'!$A$166,$DL$205^A103,IF(A103='Données projet'!$A$166,'Données projet'!$B$166,DO102+DN103-DW102)))</f>
        <v>286.53846153846126</v>
      </c>
      <c r="DP103" s="18">
        <f>DO103*VLOOKUP('Données projet'!$B$14,Paramètres!$A$1:$I$89,3,0)*VLOOKUP('Données projet'!$B$14,Paramètres!$A$1:$I$89,5,0)</f>
        <v>192.20999999999981</v>
      </c>
      <c r="DQ103" s="14">
        <f t="shared" si="97"/>
        <v>48.028223134756018</v>
      </c>
      <c r="DR103" s="22">
        <f t="shared" si="70"/>
        <v>418.41490529303309</v>
      </c>
      <c r="DS103" s="62">
        <f t="shared" si="71"/>
        <v>711.7482386263664</v>
      </c>
      <c r="DT103" s="62">
        <f ca="1">AVERAGE(OFFSET($DS$3,0,0,'Données projet'!$E$14+1,1))-AVERAGE(OFFSET($H$3,0,0,'Données projet'!$E$14+1,1))</f>
        <v>290.46086333591074</v>
      </c>
      <c r="DU103" s="62">
        <f t="shared" si="98"/>
        <v>236.8495901994267</v>
      </c>
      <c r="DV103" s="16">
        <f>IF(ISNA(VLOOKUP(A103,'Données projet'!$A$165:$I$185,3,0)),0,VLOOKUP(A103,'Données projet'!$A$165:$I$185,3,0))</f>
        <v>9</v>
      </c>
      <c r="DW103" s="16">
        <f>IF(ISNA(VLOOKUP(A103,'Données projet'!$A$165:$I$185,4,0)),0,VLOOKUP(A103,'Données projet'!$A$165:$I$185,4,0))</f>
        <v>21.153846153846153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-1.1368683772161603E-13</v>
      </c>
      <c r="EK103" s="18">
        <f>EJ103*VLOOKUP('Données projet'!$B$15,Paramètres!$A$1:$I$89,3,0)*VLOOKUP('Données projet'!$B$15,Paramètres!$A$1:$I$89,5,0)</f>
        <v>-9.2222762759774927E-14</v>
      </c>
      <c r="EL103" s="14" t="e">
        <f t="shared" si="99"/>
        <v>#NUM!</v>
      </c>
      <c r="EM103" s="22" t="e">
        <f t="shared" si="73"/>
        <v>#NUM!</v>
      </c>
      <c r="EN103" s="62" t="e">
        <f t="shared" si="74"/>
        <v>#NUM!</v>
      </c>
      <c r="EO103" s="62">
        <f ca="1">AVERAGE(OFFSET($EN$3,0,0,'Données projet'!$E$15+1,1))-AVERAGE(OFFSET($H$3,0,0,'Données projet'!$E$15+1,1))</f>
        <v>256.19915261735281</v>
      </c>
      <c r="EP103" s="62">
        <f t="shared" si="100"/>
        <v>297.47246687305056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-1.1368683772161603E-13</v>
      </c>
      <c r="O104" s="14">
        <f>N104*VLOOKUP('Données projet'!$B$9,Paramètres!$A$1:$I$89,3,0)*VLOOKUP('Données projet'!$B$9,Paramètres!$A$1:$I$89,5,0)</f>
        <v>-9.7543306765146564E-14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446.27304516866047</v>
      </c>
      <c r="T104" s="62">
        <f t="shared" si="88"/>
        <v>230.82970731138215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-3.4106051316484809E-13</v>
      </c>
      <c r="AJ104" s="14">
        <f>AI104*VLOOKUP('Données projet'!$B$10,Paramètres!$A$1:$I$89,3,0)*VLOOKUP('Données projet'!$B$10,Paramètres!$A$1:$I$89,5,0)</f>
        <v>-2.7134774427395314E-13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427.78067187784063</v>
      </c>
      <c r="AO104" s="62">
        <f t="shared" si="90"/>
        <v>464.22892523825118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1.7053025658242404E-13</v>
      </c>
      <c r="BE104" s="14">
        <f>BD104*VLOOKUP('Données projet'!$B$11,Paramètres!$A$1:$I$89,3,0)*VLOOKUP('Données projet'!$B$11,Paramètres!$A$1:$I$89,5,0)</f>
        <v>1.3301360013429075E-13</v>
      </c>
      <c r="BF104" s="14">
        <f t="shared" si="91"/>
        <v>1.9329766731057041E-12</v>
      </c>
      <c r="BG104" s="22">
        <f t="shared" si="61"/>
        <v>3.5982663925596575E-12</v>
      </c>
      <c r="BH104" s="62">
        <f t="shared" si="62"/>
        <v>293.3333333333369</v>
      </c>
      <c r="BI104" s="62">
        <f ca="1">AVERAGE(OFFSET($BH$3,0,0,'Données projet'!$E$11+1,1))-AVERAGE(OFFSET($H$3,0,0,'Données projet'!$E$11+1,1))</f>
        <v>312.09994042858187</v>
      </c>
      <c r="BJ104" s="62">
        <f t="shared" si="92"/>
        <v>283.48738729114024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-2.2737367544323206E-13</v>
      </c>
      <c r="BZ104" s="14">
        <f>BY104*VLOOKUP('Données projet'!$B$12,Paramètres!$A$1:$I$89,3,0)*VLOOKUP('Données projet'!$B$12,Paramètres!$A$1:$I$89,5,0)</f>
        <v>-1.8089849618263545E-13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370.79299728190904</v>
      </c>
      <c r="CE104" s="62">
        <f t="shared" si="94"/>
        <v>404.95703400805775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3.0769230769230744</v>
      </c>
      <c r="CT104" s="13">
        <f>IF('Données projet'!$A$140&gt;35,CT103+CS104-DB103,IF(A104&lt;'Données projet'!$A$140,$CQ$205^A104,IF(A104='Données projet'!$A$140,'Données projet'!$B$140,CT103+CS104-DB103)))</f>
        <v>217.82051282051285</v>
      </c>
      <c r="CU104" s="18">
        <f>CT104*VLOOKUP('Données projet'!$B$13,Paramètres!$A$1:$I$89,3,0)*VLOOKUP('Données projet'!$B$13,Paramètres!$A$1:$I$89,5,0)</f>
        <v>207.27800000000002</v>
      </c>
      <c r="CV104" s="14">
        <f t="shared" si="95"/>
        <v>51.340309308209044</v>
      </c>
      <c r="CW104" s="22">
        <f t="shared" si="67"/>
        <v>450.4268887117974</v>
      </c>
      <c r="CX104" s="62">
        <f t="shared" si="68"/>
        <v>743.76022204513072</v>
      </c>
      <c r="CY104" s="62">
        <f ca="1">AVERAGE(OFFSET($CX$3,0,0,'Données projet'!$E$13+1,1))-AVERAGE(OFFSET($H$3,0,0,'Données projet'!$E$13+1,1))</f>
        <v>351.34897243264044</v>
      </c>
      <c r="CZ104" s="62">
        <f t="shared" si="96"/>
        <v>268.39685058071603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3.0769230769230718</v>
      </c>
      <c r="DO104" s="13">
        <f>IF('Données projet'!$A$166&gt;35,DO103+DN104-DW103,IF(A104&lt;'Données projet'!$A$166,$DL$205^A104,IF(A104='Données projet'!$A$166,'Données projet'!$B$166,DO103+DN104-DW103)))</f>
        <v>268.46153846153823</v>
      </c>
      <c r="DP104" s="18">
        <f>DO104*VLOOKUP('Données projet'!$B$14,Paramètres!$A$1:$I$89,3,0)*VLOOKUP('Données projet'!$B$14,Paramètres!$A$1:$I$89,5,0)</f>
        <v>180.08399999999986</v>
      </c>
      <c r="DQ104" s="14">
        <f t="shared" si="97"/>
        <v>45.34087411146556</v>
      </c>
      <c r="DR104" s="22">
        <f t="shared" si="70"/>
        <v>392.61498907746892</v>
      </c>
      <c r="DS104" s="62">
        <f t="shared" si="71"/>
        <v>685.94832241080223</v>
      </c>
      <c r="DT104" s="62">
        <f ca="1">AVERAGE(OFFSET($DS$3,0,0,'Données projet'!$E$14+1,1))-AVERAGE(OFFSET($H$3,0,0,'Données projet'!$E$14+1,1))</f>
        <v>290.46086333591074</v>
      </c>
      <c r="DU104" s="62">
        <f t="shared" si="98"/>
        <v>236.8495901994267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-1.1368683772161603E-13</v>
      </c>
      <c r="EK104" s="18">
        <f>EJ104*VLOOKUP('Données projet'!$B$15,Paramètres!$A$1:$I$89,3,0)*VLOOKUP('Données projet'!$B$15,Paramètres!$A$1:$I$89,5,0)</f>
        <v>-9.2222762759774927E-14</v>
      </c>
      <c r="EL104" s="14" t="e">
        <f t="shared" si="99"/>
        <v>#NUM!</v>
      </c>
      <c r="EM104" s="22" t="e">
        <f t="shared" si="73"/>
        <v>#NUM!</v>
      </c>
      <c r="EN104" s="62" t="e">
        <f t="shared" si="74"/>
        <v>#NUM!</v>
      </c>
      <c r="EO104" s="62">
        <f ca="1">AVERAGE(OFFSET($EN$3,0,0,'Données projet'!$E$15+1,1))-AVERAGE(OFFSET($H$3,0,0,'Données projet'!$E$15+1,1))</f>
        <v>256.19915261735281</v>
      </c>
      <c r="EP104" s="62">
        <f t="shared" si="100"/>
        <v>297.47246687305056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-1.1368683772161603E-13</v>
      </c>
      <c r="O105" s="14">
        <f>N105*VLOOKUP('Données projet'!$B$9,Paramètres!$A$1:$I$89,3,0)*VLOOKUP('Données projet'!$B$9,Paramètres!$A$1:$I$89,5,0)</f>
        <v>-9.7543306765146564E-14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446.27304516866047</v>
      </c>
      <c r="T105" s="62">
        <f t="shared" si="88"/>
        <v>230.82970731138215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-3.4106051316484809E-13</v>
      </c>
      <c r="AJ105" s="14">
        <f>AI105*VLOOKUP('Données projet'!$B$10,Paramètres!$A$1:$I$89,3,0)*VLOOKUP('Données projet'!$B$10,Paramètres!$A$1:$I$89,5,0)</f>
        <v>-2.7134774427395314E-13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427.78067187784063</v>
      </c>
      <c r="AO105" s="62">
        <f t="shared" si="90"/>
        <v>464.22892523825118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1.7053025658242404E-13</v>
      </c>
      <c r="BE105" s="14">
        <f>BD105*VLOOKUP('Données projet'!$B$11,Paramètres!$A$1:$I$89,3,0)*VLOOKUP('Données projet'!$B$11,Paramètres!$A$1:$I$89,5,0)</f>
        <v>1.3301360013429075E-13</v>
      </c>
      <c r="BF105" s="14">
        <f t="shared" si="91"/>
        <v>1.9329766731057041E-12</v>
      </c>
      <c r="BG105" s="22">
        <f t="shared" si="61"/>
        <v>3.5982663925596575E-12</v>
      </c>
      <c r="BH105" s="62">
        <f t="shared" si="62"/>
        <v>293.3333333333369</v>
      </c>
      <c r="BI105" s="62">
        <f ca="1">AVERAGE(OFFSET($BH$3,0,0,'Données projet'!$E$11+1,1))-AVERAGE(OFFSET($H$3,0,0,'Données projet'!$E$11+1,1))</f>
        <v>312.09994042858187</v>
      </c>
      <c r="BJ105" s="62">
        <f t="shared" si="92"/>
        <v>283.48738729114024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-2.2737367544323206E-13</v>
      </c>
      <c r="BZ105" s="14">
        <f>BY105*VLOOKUP('Données projet'!$B$12,Paramètres!$A$1:$I$89,3,0)*VLOOKUP('Données projet'!$B$12,Paramètres!$A$1:$I$89,5,0)</f>
        <v>-1.8089849618263545E-13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370.79299728190904</v>
      </c>
      <c r="CE105" s="62">
        <f t="shared" si="94"/>
        <v>404.95703400805775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3.0769230769230744</v>
      </c>
      <c r="CT105" s="13">
        <f>IF('Données projet'!$A$140&gt;35,CT104+CS105-DB104,IF(A105&lt;'Données projet'!$A$140,$CQ$205^A105,IF(A105='Données projet'!$A$140,'Données projet'!$B$140,CT104+CS105-DB104)))</f>
        <v>220.89743589743591</v>
      </c>
      <c r="CU105" s="18">
        <f>CT105*VLOOKUP('Données projet'!$B$13,Paramètres!$A$1:$I$89,3,0)*VLOOKUP('Données projet'!$B$13,Paramètres!$A$1:$I$89,5,0)</f>
        <v>210.20600000000002</v>
      </c>
      <c r="CV105" s="14">
        <f t="shared" si="95"/>
        <v>51.980599312084976</v>
      </c>
      <c r="CW105" s="22">
        <f t="shared" si="67"/>
        <v>456.64166046854797</v>
      </c>
      <c r="CX105" s="62">
        <f t="shared" si="68"/>
        <v>749.97499380188128</v>
      </c>
      <c r="CY105" s="62">
        <f ca="1">AVERAGE(OFFSET($CX$3,0,0,'Données projet'!$E$13+1,1))-AVERAGE(OFFSET($H$3,0,0,'Données projet'!$E$13+1,1))</f>
        <v>351.34897243264044</v>
      </c>
      <c r="CZ105" s="62">
        <f t="shared" si="96"/>
        <v>268.39685058071603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3.0769230769230718</v>
      </c>
      <c r="DO105" s="13">
        <f>IF('Données projet'!$A$166&gt;35,DO104+DN105-DW104,IF(A105&lt;'Données projet'!$A$166,$DL$205^A105,IF(A105='Données projet'!$A$166,'Données projet'!$B$166,DO104+DN105-DW104)))</f>
        <v>271.53846153846132</v>
      </c>
      <c r="DP105" s="18">
        <f>DO105*VLOOKUP('Données projet'!$B$14,Paramètres!$A$1:$I$89,3,0)*VLOOKUP('Données projet'!$B$14,Paramètres!$A$1:$I$89,5,0)</f>
        <v>182.14799999999985</v>
      </c>
      <c r="DQ105" s="14">
        <f t="shared" si="97"/>
        <v>45.799746152234718</v>
      </c>
      <c r="DR105" s="22">
        <f t="shared" si="70"/>
        <v>397.0089912151418</v>
      </c>
      <c r="DS105" s="62">
        <f t="shared" si="71"/>
        <v>690.34232454847506</v>
      </c>
      <c r="DT105" s="62">
        <f ca="1">AVERAGE(OFFSET($DS$3,0,0,'Données projet'!$E$14+1,1))-AVERAGE(OFFSET($H$3,0,0,'Données projet'!$E$14+1,1))</f>
        <v>290.46086333591074</v>
      </c>
      <c r="DU105" s="62">
        <f t="shared" si="98"/>
        <v>236.8495901994267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-1.1368683772161603E-13</v>
      </c>
      <c r="EK105" s="18">
        <f>EJ105*VLOOKUP('Données projet'!$B$15,Paramètres!$A$1:$I$89,3,0)*VLOOKUP('Données projet'!$B$15,Paramètres!$A$1:$I$89,5,0)</f>
        <v>-9.2222762759774927E-14</v>
      </c>
      <c r="EL105" s="14" t="e">
        <f t="shared" si="99"/>
        <v>#NUM!</v>
      </c>
      <c r="EM105" s="22" t="e">
        <f t="shared" si="73"/>
        <v>#NUM!</v>
      </c>
      <c r="EN105" s="62" t="e">
        <f t="shared" si="74"/>
        <v>#NUM!</v>
      </c>
      <c r="EO105" s="62">
        <f ca="1">AVERAGE(OFFSET($EN$3,0,0,'Données projet'!$E$15+1,1))-AVERAGE(OFFSET($H$3,0,0,'Données projet'!$E$15+1,1))</f>
        <v>256.19915261735281</v>
      </c>
      <c r="EP105" s="62">
        <f t="shared" si="100"/>
        <v>297.47246687305056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-1.1368683772161603E-13</v>
      </c>
      <c r="O106" s="14">
        <f>N106*VLOOKUP('Données projet'!$B$9,Paramètres!$A$1:$I$89,3,0)*VLOOKUP('Données projet'!$B$9,Paramètres!$A$1:$I$89,5,0)</f>
        <v>-9.7543306765146564E-14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446.27304516866047</v>
      </c>
      <c r="T106" s="62">
        <f t="shared" si="88"/>
        <v>230.82970731138215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-3.4106051316484809E-13</v>
      </c>
      <c r="AJ106" s="14">
        <f>AI106*VLOOKUP('Données projet'!$B$10,Paramètres!$A$1:$I$89,3,0)*VLOOKUP('Données projet'!$B$10,Paramètres!$A$1:$I$89,5,0)</f>
        <v>-2.7134774427395314E-13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427.78067187784063</v>
      </c>
      <c r="AO106" s="62">
        <f t="shared" si="90"/>
        <v>464.22892523825118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1.7053025658242404E-13</v>
      </c>
      <c r="BE106" s="14">
        <f>BD106*VLOOKUP('Données projet'!$B$11,Paramètres!$A$1:$I$89,3,0)*VLOOKUP('Données projet'!$B$11,Paramètres!$A$1:$I$89,5,0)</f>
        <v>1.3301360013429075E-13</v>
      </c>
      <c r="BF106" s="14">
        <f t="shared" si="91"/>
        <v>1.9329766731057041E-12</v>
      </c>
      <c r="BG106" s="22">
        <f t="shared" si="61"/>
        <v>3.5982663925596575E-12</v>
      </c>
      <c r="BH106" s="62">
        <f t="shared" si="62"/>
        <v>293.3333333333369</v>
      </c>
      <c r="BI106" s="62">
        <f ca="1">AVERAGE(OFFSET($BH$3,0,0,'Données projet'!$E$11+1,1))-AVERAGE(OFFSET($H$3,0,0,'Données projet'!$E$11+1,1))</f>
        <v>312.09994042858187</v>
      </c>
      <c r="BJ106" s="62">
        <f t="shared" si="92"/>
        <v>283.48738729114024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-2.2737367544323206E-13</v>
      </c>
      <c r="BZ106" s="14">
        <f>BY106*VLOOKUP('Données projet'!$B$12,Paramètres!$A$1:$I$89,3,0)*VLOOKUP('Données projet'!$B$12,Paramètres!$A$1:$I$89,5,0)</f>
        <v>-1.8089849618263545E-13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370.79299728190904</v>
      </c>
      <c r="CE106" s="62">
        <f t="shared" si="94"/>
        <v>404.95703400805775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3.0769230769230744</v>
      </c>
      <c r="CT106" s="13">
        <f>IF('Données projet'!$A$140&gt;35,CT105+CS106-DB105,IF(A106&lt;'Données projet'!$A$140,$CQ$205^A106,IF(A106='Données projet'!$A$140,'Données projet'!$B$140,CT105+CS106-DB105)))</f>
        <v>223.97435897435898</v>
      </c>
      <c r="CU106" s="18">
        <f>CT106*VLOOKUP('Données projet'!$B$13,Paramètres!$A$1:$I$89,3,0)*VLOOKUP('Données projet'!$B$13,Paramètres!$A$1:$I$89,5,0)</f>
        <v>213.13400000000001</v>
      </c>
      <c r="CV106" s="14">
        <f t="shared" si="95"/>
        <v>52.619851982252747</v>
      </c>
      <c r="CW106" s="22">
        <f t="shared" si="67"/>
        <v>462.85462553575684</v>
      </c>
      <c r="CX106" s="62">
        <f t="shared" si="68"/>
        <v>756.18795886909015</v>
      </c>
      <c r="CY106" s="62">
        <f ca="1">AVERAGE(OFFSET($CX$3,0,0,'Données projet'!$E$13+1,1))-AVERAGE(OFFSET($H$3,0,0,'Données projet'!$E$13+1,1))</f>
        <v>351.34897243264044</v>
      </c>
      <c r="CZ106" s="62">
        <f t="shared" si="96"/>
        <v>268.39685058071603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3.0769230769230718</v>
      </c>
      <c r="DO106" s="13">
        <f>IF('Données projet'!$A$166&gt;35,DO105+DN106-DW105,IF(A106&lt;'Données projet'!$A$166,$DL$205^A106,IF(A106='Données projet'!$A$166,'Données projet'!$B$166,DO105+DN106-DW105)))</f>
        <v>274.61538461538441</v>
      </c>
      <c r="DP106" s="18">
        <f>DO106*VLOOKUP('Données projet'!$B$14,Paramètres!$A$1:$I$89,3,0)*VLOOKUP('Données projet'!$B$14,Paramètres!$A$1:$I$89,5,0)</f>
        <v>184.21199999999985</v>
      </c>
      <c r="DQ106" s="14">
        <f t="shared" si="97"/>
        <v>46.258013335169039</v>
      </c>
      <c r="DR106" s="22">
        <f t="shared" si="70"/>
        <v>401.40193989208575</v>
      </c>
      <c r="DS106" s="62">
        <f t="shared" si="71"/>
        <v>694.73527322541906</v>
      </c>
      <c r="DT106" s="62">
        <f ca="1">AVERAGE(OFFSET($DS$3,0,0,'Données projet'!$E$14+1,1))-AVERAGE(OFFSET($H$3,0,0,'Données projet'!$E$14+1,1))</f>
        <v>290.46086333591074</v>
      </c>
      <c r="DU106" s="62">
        <f t="shared" si="98"/>
        <v>236.8495901994267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-1.1368683772161603E-13</v>
      </c>
      <c r="EK106" s="18">
        <f>EJ106*VLOOKUP('Données projet'!$B$15,Paramètres!$A$1:$I$89,3,0)*VLOOKUP('Données projet'!$B$15,Paramètres!$A$1:$I$89,5,0)</f>
        <v>-9.2222762759774927E-14</v>
      </c>
      <c r="EL106" s="14" t="e">
        <f t="shared" si="99"/>
        <v>#NUM!</v>
      </c>
      <c r="EM106" s="22" t="e">
        <f t="shared" si="73"/>
        <v>#NUM!</v>
      </c>
      <c r="EN106" s="62" t="e">
        <f t="shared" si="74"/>
        <v>#NUM!</v>
      </c>
      <c r="EO106" s="62">
        <f ca="1">AVERAGE(OFFSET($EN$3,0,0,'Données projet'!$E$15+1,1))-AVERAGE(OFFSET($H$3,0,0,'Données projet'!$E$15+1,1))</f>
        <v>256.19915261735281</v>
      </c>
      <c r="EP106" s="62">
        <f t="shared" si="100"/>
        <v>297.47246687305056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-1.1368683772161603E-13</v>
      </c>
      <c r="O107" s="14">
        <f>N107*VLOOKUP('Données projet'!$B$9,Paramètres!$A$1:$I$89,3,0)*VLOOKUP('Données projet'!$B$9,Paramètres!$A$1:$I$89,5,0)</f>
        <v>-9.7543306765146564E-14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446.27304516866047</v>
      </c>
      <c r="T107" s="62">
        <f t="shared" si="88"/>
        <v>230.82970731138215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-3.4106051316484809E-13</v>
      </c>
      <c r="AJ107" s="14">
        <f>AI107*VLOOKUP('Données projet'!$B$10,Paramètres!$A$1:$I$89,3,0)*VLOOKUP('Données projet'!$B$10,Paramètres!$A$1:$I$89,5,0)</f>
        <v>-2.7134774427395314E-13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427.78067187784063</v>
      </c>
      <c r="AO107" s="62">
        <f t="shared" si="90"/>
        <v>464.22892523825118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1.7053025658242404E-13</v>
      </c>
      <c r="BE107" s="14">
        <f>BD107*VLOOKUP('Données projet'!$B$11,Paramètres!$A$1:$I$89,3,0)*VLOOKUP('Données projet'!$B$11,Paramètres!$A$1:$I$89,5,0)</f>
        <v>1.3301360013429075E-13</v>
      </c>
      <c r="BF107" s="14">
        <f t="shared" si="91"/>
        <v>1.9329766731057041E-12</v>
      </c>
      <c r="BG107" s="22">
        <f t="shared" si="61"/>
        <v>3.5982663925596575E-12</v>
      </c>
      <c r="BH107" s="62">
        <f t="shared" si="62"/>
        <v>293.3333333333369</v>
      </c>
      <c r="BI107" s="62">
        <f ca="1">AVERAGE(OFFSET($BH$3,0,0,'Données projet'!$E$11+1,1))-AVERAGE(OFFSET($H$3,0,0,'Données projet'!$E$11+1,1))</f>
        <v>312.09994042858187</v>
      </c>
      <c r="BJ107" s="62">
        <f t="shared" si="92"/>
        <v>283.48738729114024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-2.2737367544323206E-13</v>
      </c>
      <c r="BZ107" s="14">
        <f>BY107*VLOOKUP('Données projet'!$B$12,Paramètres!$A$1:$I$89,3,0)*VLOOKUP('Données projet'!$B$12,Paramètres!$A$1:$I$89,5,0)</f>
        <v>-1.8089849618263545E-13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370.79299728190904</v>
      </c>
      <c r="CE107" s="62">
        <f t="shared" si="94"/>
        <v>404.95703400805775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3.0769230769230744</v>
      </c>
      <c r="CT107" s="13">
        <f>IF('Données projet'!$A$140&gt;35,CT106+CS107-DB106,IF(A107&lt;'Données projet'!$A$140,$CQ$205^A107,IF(A107='Données projet'!$A$140,'Données projet'!$B$140,CT106+CS107-DB106)))</f>
        <v>227.05128205128204</v>
      </c>
      <c r="CU107" s="18">
        <f>CT107*VLOOKUP('Données projet'!$B$13,Paramètres!$A$1:$I$89,3,0)*VLOOKUP('Données projet'!$B$13,Paramètres!$A$1:$I$89,5,0)</f>
        <v>216.06199999999998</v>
      </c>
      <c r="CV107" s="14">
        <f t="shared" si="95"/>
        <v>53.258083216509696</v>
      </c>
      <c r="CW107" s="22">
        <f t="shared" si="67"/>
        <v>469.06581160208765</v>
      </c>
      <c r="CX107" s="62">
        <f t="shared" si="68"/>
        <v>762.39914493542096</v>
      </c>
      <c r="CY107" s="62">
        <f ca="1">AVERAGE(OFFSET($CX$3,0,0,'Données projet'!$E$13+1,1))-AVERAGE(OFFSET($H$3,0,0,'Données projet'!$E$13+1,1))</f>
        <v>351.34897243264044</v>
      </c>
      <c r="CZ107" s="62">
        <f t="shared" si="96"/>
        <v>268.39685058071603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3.0769230769230718</v>
      </c>
      <c r="DO107" s="13">
        <f>IF('Données projet'!$A$166&gt;35,DO106+DN107-DW106,IF(A107&lt;'Données projet'!$A$166,$DL$205^A107,IF(A107='Données projet'!$A$166,'Données projet'!$B$166,DO106+DN107-DW106)))</f>
        <v>277.69230769230751</v>
      </c>
      <c r="DP107" s="18">
        <f>DO107*VLOOKUP('Données projet'!$B$14,Paramètres!$A$1:$I$89,3,0)*VLOOKUP('Données projet'!$B$14,Paramètres!$A$1:$I$89,5,0)</f>
        <v>186.2759999999999</v>
      </c>
      <c r="DQ107" s="14">
        <f t="shared" si="97"/>
        <v>46.715683221630229</v>
      </c>
      <c r="DR107" s="22">
        <f t="shared" si="70"/>
        <v>405.79384827767245</v>
      </c>
      <c r="DS107" s="62">
        <f t="shared" si="71"/>
        <v>699.12718161100577</v>
      </c>
      <c r="DT107" s="62">
        <f ca="1">AVERAGE(OFFSET($DS$3,0,0,'Données projet'!$E$14+1,1))-AVERAGE(OFFSET($H$3,0,0,'Données projet'!$E$14+1,1))</f>
        <v>290.46086333591074</v>
      </c>
      <c r="DU107" s="62">
        <f t="shared" si="98"/>
        <v>236.8495901994267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-1.1368683772161603E-13</v>
      </c>
      <c r="EK107" s="18">
        <f>EJ107*VLOOKUP('Données projet'!$B$15,Paramètres!$A$1:$I$89,3,0)*VLOOKUP('Données projet'!$B$15,Paramètres!$A$1:$I$89,5,0)</f>
        <v>-9.2222762759774927E-14</v>
      </c>
      <c r="EL107" s="14" t="e">
        <f t="shared" si="99"/>
        <v>#NUM!</v>
      </c>
      <c r="EM107" s="22" t="e">
        <f t="shared" si="73"/>
        <v>#NUM!</v>
      </c>
      <c r="EN107" s="62" t="e">
        <f t="shared" si="74"/>
        <v>#NUM!</v>
      </c>
      <c r="EO107" s="62">
        <f ca="1">AVERAGE(OFFSET($EN$3,0,0,'Données projet'!$E$15+1,1))-AVERAGE(OFFSET($H$3,0,0,'Données projet'!$E$15+1,1))</f>
        <v>256.19915261735281</v>
      </c>
      <c r="EP107" s="62">
        <f t="shared" si="100"/>
        <v>297.47246687305056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-1.1368683772161603E-13</v>
      </c>
      <c r="O108" s="14">
        <f>N108*VLOOKUP('Données projet'!$B$9,Paramètres!$A$1:$I$89,3,0)*VLOOKUP('Données projet'!$B$9,Paramètres!$A$1:$I$89,5,0)</f>
        <v>-9.7543306765146564E-14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446.27304516866047</v>
      </c>
      <c r="T108" s="62">
        <f t="shared" si="88"/>
        <v>230.82970731138215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-3.4106051316484809E-13</v>
      </c>
      <c r="AJ108" s="14">
        <f>AI108*VLOOKUP('Données projet'!$B$10,Paramètres!$A$1:$I$89,3,0)*VLOOKUP('Données projet'!$B$10,Paramètres!$A$1:$I$89,5,0)</f>
        <v>-2.7134774427395314E-13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427.78067187784063</v>
      </c>
      <c r="AO108" s="62">
        <f t="shared" si="90"/>
        <v>464.22892523825118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1.7053025658242404E-13</v>
      </c>
      <c r="BE108" s="14">
        <f>BD108*VLOOKUP('Données projet'!$B$11,Paramètres!$A$1:$I$89,3,0)*VLOOKUP('Données projet'!$B$11,Paramètres!$A$1:$I$89,5,0)</f>
        <v>1.3301360013429075E-13</v>
      </c>
      <c r="BF108" s="14">
        <f t="shared" si="91"/>
        <v>1.9329766731057041E-12</v>
      </c>
      <c r="BG108" s="22">
        <f t="shared" si="61"/>
        <v>3.5982663925596575E-12</v>
      </c>
      <c r="BH108" s="62">
        <f t="shared" si="62"/>
        <v>293.3333333333369</v>
      </c>
      <c r="BI108" s="62">
        <f ca="1">AVERAGE(OFFSET($BH$3,0,0,'Données projet'!$E$11+1,1))-AVERAGE(OFFSET($H$3,0,0,'Données projet'!$E$11+1,1))</f>
        <v>312.09994042858187</v>
      </c>
      <c r="BJ108" s="62">
        <f t="shared" si="92"/>
        <v>283.48738729114024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-2.2737367544323206E-13</v>
      </c>
      <c r="BZ108" s="14">
        <f>BY108*VLOOKUP('Données projet'!$B$12,Paramètres!$A$1:$I$89,3,0)*VLOOKUP('Données projet'!$B$12,Paramètres!$A$1:$I$89,5,0)</f>
        <v>-1.8089849618263545E-13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370.79299728190904</v>
      </c>
      <c r="CE108" s="62">
        <f t="shared" si="94"/>
        <v>404.95703400805775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3.0769230769230744</v>
      </c>
      <c r="CT108" s="13">
        <f>IF('Données projet'!$A$140&gt;35,CT107+CS108-DB107,IF(A108&lt;'Données projet'!$A$140,$CQ$205^A108,IF(A108='Données projet'!$A$140,'Données projet'!$B$140,CT107+CS108-DB107)))</f>
        <v>230.12820512820511</v>
      </c>
      <c r="CU108" s="18">
        <f>CT108*VLOOKUP('Données projet'!$B$13,Paramètres!$A$1:$I$89,3,0)*VLOOKUP('Données projet'!$B$13,Paramètres!$A$1:$I$89,5,0)</f>
        <v>218.98999999999998</v>
      </c>
      <c r="CV108" s="14">
        <f t="shared" si="95"/>
        <v>53.895308457010437</v>
      </c>
      <c r="CW108" s="22">
        <f t="shared" si="67"/>
        <v>475.27524556262642</v>
      </c>
      <c r="CX108" s="62">
        <f t="shared" si="68"/>
        <v>768.60857889595968</v>
      </c>
      <c r="CY108" s="62">
        <f ca="1">AVERAGE(OFFSET($CX$3,0,0,'Données projet'!$E$13+1,1))-AVERAGE(OFFSET($H$3,0,0,'Données projet'!$E$13+1,1))</f>
        <v>351.34897243264044</v>
      </c>
      <c r="CZ108" s="62">
        <f t="shared" si="96"/>
        <v>268.39685058071603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280.76923076923077</v>
      </c>
      <c r="DM108" s="13">
        <f>VLOOKUP(A108,'Données projet'!$A$165:$I$185,9,0)</f>
        <v>3.0769230769230718</v>
      </c>
      <c r="DN108" s="13">
        <f t="array" ref="DN108">INDEX(DM:DM,MIN(IF(ISNUMBER(DM108:DM304),ROW(DM108:DM304),"")))</f>
        <v>3.0769230769230718</v>
      </c>
      <c r="DO108" s="13">
        <f>IF('Données projet'!$A$166&gt;35,DO107+DN108-DW107,IF(A108&lt;'Données projet'!$A$166,$DL$205^A108,IF(A108='Données projet'!$A$166,'Données projet'!$B$166,DO107+DN108-DW107)))</f>
        <v>280.7692307692306</v>
      </c>
      <c r="DP108" s="18">
        <f>DO108*VLOOKUP('Données projet'!$B$14,Paramètres!$A$1:$I$89,3,0)*VLOOKUP('Données projet'!$B$14,Paramètres!$A$1:$I$89,5,0)</f>
        <v>188.33999999999989</v>
      </c>
      <c r="DQ108" s="14">
        <f t="shared" si="97"/>
        <v>47.172763195766144</v>
      </c>
      <c r="DR108" s="22">
        <f t="shared" si="70"/>
        <v>410.18472923262584</v>
      </c>
      <c r="DS108" s="62">
        <f t="shared" si="71"/>
        <v>703.5180625659591</v>
      </c>
      <c r="DT108" s="62">
        <f ca="1">AVERAGE(OFFSET($DS$3,0,0,'Données projet'!$E$14+1,1))-AVERAGE(OFFSET($H$3,0,0,'Données projet'!$E$14+1,1))</f>
        <v>290.46086333591074</v>
      </c>
      <c r="DU108" s="62">
        <f t="shared" si="98"/>
        <v>236.8495901994267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-1.1368683772161603E-13</v>
      </c>
      <c r="EK108" s="18">
        <f>EJ108*VLOOKUP('Données projet'!$B$15,Paramètres!$A$1:$I$89,3,0)*VLOOKUP('Données projet'!$B$15,Paramètres!$A$1:$I$89,5,0)</f>
        <v>-9.2222762759774927E-14</v>
      </c>
      <c r="EL108" s="14" t="e">
        <f t="shared" si="99"/>
        <v>#NUM!</v>
      </c>
      <c r="EM108" s="22" t="e">
        <f t="shared" si="73"/>
        <v>#NUM!</v>
      </c>
      <c r="EN108" s="62" t="e">
        <f t="shared" si="74"/>
        <v>#NUM!</v>
      </c>
      <c r="EO108" s="62">
        <f ca="1">AVERAGE(OFFSET($EN$3,0,0,'Données projet'!$E$15+1,1))-AVERAGE(OFFSET($H$3,0,0,'Données projet'!$E$15+1,1))</f>
        <v>256.19915261735281</v>
      </c>
      <c r="EP108" s="62">
        <f t="shared" si="100"/>
        <v>297.47246687305056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-1.1368683772161603E-13</v>
      </c>
      <c r="O109" s="14">
        <f>N109*VLOOKUP('Données projet'!$B$9,Paramètres!$A$1:$I$89,3,0)*VLOOKUP('Données projet'!$B$9,Paramètres!$A$1:$I$89,5,0)</f>
        <v>-9.7543306765146564E-14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446.27304516866047</v>
      </c>
      <c r="T109" s="62">
        <f t="shared" si="88"/>
        <v>230.82970731138215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-3.4106051316484809E-13</v>
      </c>
      <c r="AJ109" s="14">
        <f>AI109*VLOOKUP('Données projet'!$B$10,Paramètres!$A$1:$I$89,3,0)*VLOOKUP('Données projet'!$B$10,Paramètres!$A$1:$I$89,5,0)</f>
        <v>-2.7134774427395314E-13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427.78067187784063</v>
      </c>
      <c r="AO109" s="62">
        <f t="shared" si="90"/>
        <v>464.22892523825118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1.7053025658242404E-13</v>
      </c>
      <c r="BE109" s="14">
        <f>BD109*VLOOKUP('Données projet'!$B$11,Paramètres!$A$1:$I$89,3,0)*VLOOKUP('Données projet'!$B$11,Paramètres!$A$1:$I$89,5,0)</f>
        <v>1.3301360013429075E-13</v>
      </c>
      <c r="BF109" s="14">
        <f t="shared" si="91"/>
        <v>1.9329766731057041E-12</v>
      </c>
      <c r="BG109" s="22">
        <f t="shared" si="61"/>
        <v>3.5982663925596575E-12</v>
      </c>
      <c r="BH109" s="62">
        <f t="shared" si="62"/>
        <v>293.3333333333369</v>
      </c>
      <c r="BI109" s="62">
        <f ca="1">AVERAGE(OFFSET($BH$3,0,0,'Données projet'!$E$11+1,1))-AVERAGE(OFFSET($H$3,0,0,'Données projet'!$E$11+1,1))</f>
        <v>312.09994042858187</v>
      </c>
      <c r="BJ109" s="62">
        <f t="shared" si="92"/>
        <v>283.48738729114024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-2.2737367544323206E-13</v>
      </c>
      <c r="BZ109" s="14">
        <f>BY109*VLOOKUP('Données projet'!$B$12,Paramètres!$A$1:$I$89,3,0)*VLOOKUP('Données projet'!$B$12,Paramètres!$A$1:$I$89,5,0)</f>
        <v>-1.8089849618263545E-13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370.79299728190904</v>
      </c>
      <c r="CE109" s="62">
        <f t="shared" si="94"/>
        <v>404.95703400805775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3.0769230769230744</v>
      </c>
      <c r="CT109" s="13">
        <f>IF('Données projet'!$A$140&gt;35,CT108+CS109-DB108,IF(A109&lt;'Données projet'!$A$140,$CQ$205^A109,IF(A109='Données projet'!$A$140,'Données projet'!$B$140,CT108+CS109-DB108)))</f>
        <v>233.20512820512818</v>
      </c>
      <c r="CU109" s="18">
        <f>CT109*VLOOKUP('Données projet'!$B$13,Paramètres!$A$1:$I$89,3,0)*VLOOKUP('Données projet'!$B$13,Paramètres!$A$1:$I$89,5,0)</f>
        <v>221.91799999999998</v>
      </c>
      <c r="CV109" s="14">
        <f t="shared" si="95"/>
        <v>54.531542709239645</v>
      </c>
      <c r="CW109" s="22">
        <f t="shared" si="67"/>
        <v>481.48295355192562</v>
      </c>
      <c r="CX109" s="62">
        <f t="shared" si="68"/>
        <v>774.81628688525893</v>
      </c>
      <c r="CY109" s="62">
        <f ca="1">AVERAGE(OFFSET($CX$3,0,0,'Données projet'!$E$13+1,1))-AVERAGE(OFFSET($H$3,0,0,'Données projet'!$E$13+1,1))</f>
        <v>351.34897243264044</v>
      </c>
      <c r="CZ109" s="62">
        <f t="shared" si="96"/>
        <v>268.39685058071603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3.0769230769230718</v>
      </c>
      <c r="DO109" s="13">
        <f>IF('Données projet'!$A$166&gt;35,DO108+DN109-DW108,IF(A109&lt;'Données projet'!$A$166,$DL$205^A109,IF(A109='Données projet'!$A$166,'Données projet'!$B$166,DO108+DN109-DW108)))</f>
        <v>283.8461538461537</v>
      </c>
      <c r="DP109" s="18">
        <f>DO109*VLOOKUP('Données projet'!$B$14,Paramètres!$A$1:$I$89,3,0)*VLOOKUP('Données projet'!$B$14,Paramètres!$A$1:$I$89,5,0)</f>
        <v>190.40399999999991</v>
      </c>
      <c r="DQ109" s="14">
        <f t="shared" si="97"/>
        <v>47.629260470560219</v>
      </c>
      <c r="DR109" s="22">
        <f t="shared" si="70"/>
        <v>414.57459531955891</v>
      </c>
      <c r="DS109" s="62">
        <f t="shared" si="71"/>
        <v>707.90792865289222</v>
      </c>
      <c r="DT109" s="62">
        <f ca="1">AVERAGE(OFFSET($DS$3,0,0,'Données projet'!$E$14+1,1))-AVERAGE(OFFSET($H$3,0,0,'Données projet'!$E$14+1,1))</f>
        <v>290.46086333591074</v>
      </c>
      <c r="DU109" s="62">
        <f t="shared" si="98"/>
        <v>236.8495901994267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-1.1368683772161603E-13</v>
      </c>
      <c r="EK109" s="18">
        <f>EJ109*VLOOKUP('Données projet'!$B$15,Paramètres!$A$1:$I$89,3,0)*VLOOKUP('Données projet'!$B$15,Paramètres!$A$1:$I$89,5,0)</f>
        <v>-9.2222762759774927E-14</v>
      </c>
      <c r="EL109" s="14" t="e">
        <f t="shared" si="99"/>
        <v>#NUM!</v>
      </c>
      <c r="EM109" s="22" t="e">
        <f t="shared" si="73"/>
        <v>#NUM!</v>
      </c>
      <c r="EN109" s="62" t="e">
        <f t="shared" si="74"/>
        <v>#NUM!</v>
      </c>
      <c r="EO109" s="62">
        <f ca="1">AVERAGE(OFFSET($EN$3,0,0,'Données projet'!$E$15+1,1))-AVERAGE(OFFSET($H$3,0,0,'Données projet'!$E$15+1,1))</f>
        <v>256.19915261735281</v>
      </c>
      <c r="EP109" s="62">
        <f t="shared" si="100"/>
        <v>297.47246687305056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-1.1368683772161603E-13</v>
      </c>
      <c r="O110" s="14">
        <f>N110*VLOOKUP('Données projet'!$B$9,Paramètres!$A$1:$I$89,3,0)*VLOOKUP('Données projet'!$B$9,Paramètres!$A$1:$I$89,5,0)</f>
        <v>-9.7543306765146564E-14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446.27304516866047</v>
      </c>
      <c r="T110" s="62">
        <f t="shared" si="88"/>
        <v>230.82970731138215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-3.4106051316484809E-13</v>
      </c>
      <c r="AJ110" s="14">
        <f>AI110*VLOOKUP('Données projet'!$B$10,Paramètres!$A$1:$I$89,3,0)*VLOOKUP('Données projet'!$B$10,Paramètres!$A$1:$I$89,5,0)</f>
        <v>-2.7134774427395314E-13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427.78067187784063</v>
      </c>
      <c r="AO110" s="62">
        <f t="shared" si="90"/>
        <v>464.22892523825118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1.7053025658242404E-13</v>
      </c>
      <c r="BE110" s="14">
        <f>BD110*VLOOKUP('Données projet'!$B$11,Paramètres!$A$1:$I$89,3,0)*VLOOKUP('Données projet'!$B$11,Paramètres!$A$1:$I$89,5,0)</f>
        <v>1.3301360013429075E-13</v>
      </c>
      <c r="BF110" s="14">
        <f t="shared" si="91"/>
        <v>1.9329766731057041E-12</v>
      </c>
      <c r="BG110" s="22">
        <f t="shared" si="61"/>
        <v>3.5982663925596575E-12</v>
      </c>
      <c r="BH110" s="62">
        <f t="shared" si="62"/>
        <v>293.3333333333369</v>
      </c>
      <c r="BI110" s="62">
        <f ca="1">AVERAGE(OFFSET($BH$3,0,0,'Données projet'!$E$11+1,1))-AVERAGE(OFFSET($H$3,0,0,'Données projet'!$E$11+1,1))</f>
        <v>312.09994042858187</v>
      </c>
      <c r="BJ110" s="62">
        <f t="shared" si="92"/>
        <v>283.48738729114024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-2.2737367544323206E-13</v>
      </c>
      <c r="BZ110" s="14">
        <f>BY110*VLOOKUP('Données projet'!$B$12,Paramètres!$A$1:$I$89,3,0)*VLOOKUP('Données projet'!$B$12,Paramètres!$A$1:$I$89,5,0)</f>
        <v>-1.8089849618263545E-13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370.79299728190904</v>
      </c>
      <c r="CE110" s="62">
        <f t="shared" si="94"/>
        <v>404.95703400805775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3.0769230769230744</v>
      </c>
      <c r="CT110" s="13">
        <f>IF('Données projet'!$A$140&gt;35,CT109+CS110-DB109,IF(A110&lt;'Données projet'!$A$140,$CQ$205^A110,IF(A110='Données projet'!$A$140,'Données projet'!$B$140,CT109+CS110-DB109)))</f>
        <v>236.28205128205124</v>
      </c>
      <c r="CU110" s="18">
        <f>CT110*VLOOKUP('Données projet'!$B$13,Paramètres!$A$1:$I$89,3,0)*VLOOKUP('Données projet'!$B$13,Paramètres!$A$1:$I$89,5,0)</f>
        <v>224.84599999999998</v>
      </c>
      <c r="CV110" s="14">
        <f t="shared" si="95"/>
        <v>55.166800559955661</v>
      </c>
      <c r="CW110" s="22">
        <f t="shared" si="67"/>
        <v>487.68896097525595</v>
      </c>
      <c r="CX110" s="62">
        <f t="shared" si="68"/>
        <v>781.02229430858927</v>
      </c>
      <c r="CY110" s="62">
        <f ca="1">AVERAGE(OFFSET($CX$3,0,0,'Données projet'!$E$13+1,1))-AVERAGE(OFFSET($H$3,0,0,'Données projet'!$E$13+1,1))</f>
        <v>351.34897243264044</v>
      </c>
      <c r="CZ110" s="62">
        <f t="shared" si="96"/>
        <v>268.39685058071603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3.0769230769230718</v>
      </c>
      <c r="DO110" s="13">
        <f>IF('Données projet'!$A$166&gt;35,DO109+DN110-DW109,IF(A110&lt;'Données projet'!$A$166,$DL$205^A110,IF(A110='Données projet'!$A$166,'Données projet'!$B$166,DO109+DN110-DW109)))</f>
        <v>286.92307692307679</v>
      </c>
      <c r="DP110" s="18">
        <f>DO110*VLOOKUP('Données projet'!$B$14,Paramètres!$A$1:$I$89,3,0)*VLOOKUP('Données projet'!$B$14,Paramètres!$A$1:$I$89,5,0)</f>
        <v>192.46799999999993</v>
      </c>
      <c r="DQ110" s="14">
        <f t="shared" si="97"/>
        <v>48.085182093610292</v>
      </c>
      <c r="DR110" s="22">
        <f t="shared" si="70"/>
        <v>418.96345881303779</v>
      </c>
      <c r="DS110" s="62">
        <f t="shared" si="71"/>
        <v>712.2967921463711</v>
      </c>
      <c r="DT110" s="62">
        <f ca="1">AVERAGE(OFFSET($DS$3,0,0,'Données projet'!$E$14+1,1))-AVERAGE(OFFSET($H$3,0,0,'Données projet'!$E$14+1,1))</f>
        <v>290.46086333591074</v>
      </c>
      <c r="DU110" s="62">
        <f t="shared" si="98"/>
        <v>236.8495901994267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-1.1368683772161603E-13</v>
      </c>
      <c r="EK110" s="18">
        <f>EJ110*VLOOKUP('Données projet'!$B$15,Paramètres!$A$1:$I$89,3,0)*VLOOKUP('Données projet'!$B$15,Paramètres!$A$1:$I$89,5,0)</f>
        <v>-9.2222762759774927E-14</v>
      </c>
      <c r="EL110" s="14" t="e">
        <f t="shared" si="99"/>
        <v>#NUM!</v>
      </c>
      <c r="EM110" s="22" t="e">
        <f t="shared" si="73"/>
        <v>#NUM!</v>
      </c>
      <c r="EN110" s="62" t="e">
        <f t="shared" si="74"/>
        <v>#NUM!</v>
      </c>
      <c r="EO110" s="62">
        <f ca="1">AVERAGE(OFFSET($EN$3,0,0,'Données projet'!$E$15+1,1))-AVERAGE(OFFSET($H$3,0,0,'Données projet'!$E$15+1,1))</f>
        <v>256.19915261735281</v>
      </c>
      <c r="EP110" s="62">
        <f t="shared" si="100"/>
        <v>297.47246687305056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-1.1368683772161603E-13</v>
      </c>
      <c r="O111" s="14">
        <f>N111*VLOOKUP('Données projet'!$B$9,Paramètres!$A$1:$I$89,3,0)*VLOOKUP('Données projet'!$B$9,Paramètres!$A$1:$I$89,5,0)</f>
        <v>-9.7543306765146564E-14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446.27304516866047</v>
      </c>
      <c r="T111" s="62">
        <f t="shared" si="88"/>
        <v>230.82970731138215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-3.4106051316484809E-13</v>
      </c>
      <c r="AJ111" s="14">
        <f>AI111*VLOOKUP('Données projet'!$B$10,Paramètres!$A$1:$I$89,3,0)*VLOOKUP('Données projet'!$B$10,Paramètres!$A$1:$I$89,5,0)</f>
        <v>-2.7134774427395314E-13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427.78067187784063</v>
      </c>
      <c r="AO111" s="62">
        <f t="shared" si="90"/>
        <v>464.22892523825118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1.7053025658242404E-13</v>
      </c>
      <c r="BE111" s="14">
        <f>BD111*VLOOKUP('Données projet'!$B$11,Paramètres!$A$1:$I$89,3,0)*VLOOKUP('Données projet'!$B$11,Paramètres!$A$1:$I$89,5,0)</f>
        <v>1.3301360013429075E-13</v>
      </c>
      <c r="BF111" s="14">
        <f t="shared" si="91"/>
        <v>1.9329766731057041E-12</v>
      </c>
      <c r="BG111" s="22">
        <f t="shared" si="61"/>
        <v>3.5982663925596575E-12</v>
      </c>
      <c r="BH111" s="62">
        <f t="shared" si="62"/>
        <v>293.3333333333369</v>
      </c>
      <c r="BI111" s="62">
        <f ca="1">AVERAGE(OFFSET($BH$3,0,0,'Données projet'!$E$11+1,1))-AVERAGE(OFFSET($H$3,0,0,'Données projet'!$E$11+1,1))</f>
        <v>312.09994042858187</v>
      </c>
      <c r="BJ111" s="62">
        <f t="shared" si="92"/>
        <v>283.48738729114024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-2.2737367544323206E-13</v>
      </c>
      <c r="BZ111" s="14">
        <f>BY111*VLOOKUP('Données projet'!$B$12,Paramètres!$A$1:$I$89,3,0)*VLOOKUP('Données projet'!$B$12,Paramètres!$A$1:$I$89,5,0)</f>
        <v>-1.8089849618263545E-13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370.79299728190904</v>
      </c>
      <c r="CE111" s="62">
        <f t="shared" si="94"/>
        <v>404.95703400805775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3.0769230769230744</v>
      </c>
      <c r="CT111" s="13">
        <f>IF('Données projet'!$A$140&gt;35,CT110+CS111-DB110,IF(A111&lt;'Données projet'!$A$140,$CQ$205^A111,IF(A111='Données projet'!$A$140,'Données projet'!$B$140,CT110+CS111-DB110)))</f>
        <v>239.35897435897431</v>
      </c>
      <c r="CU111" s="18">
        <f>CT111*VLOOKUP('Données projet'!$B$13,Paramètres!$A$1:$I$89,3,0)*VLOOKUP('Données projet'!$B$13,Paramètres!$A$1:$I$89,5,0)</f>
        <v>227.77399999999994</v>
      </c>
      <c r="CV111" s="14">
        <f t="shared" si="95"/>
        <v>55.801096194172317</v>
      </c>
      <c r="CW111" s="22">
        <f t="shared" si="67"/>
        <v>493.8932925381834</v>
      </c>
      <c r="CX111" s="62">
        <f t="shared" si="68"/>
        <v>787.22662587151672</v>
      </c>
      <c r="CY111" s="62">
        <f ca="1">AVERAGE(OFFSET($CX$3,0,0,'Données projet'!$E$13+1,1))-AVERAGE(OFFSET($H$3,0,0,'Données projet'!$E$13+1,1))</f>
        <v>351.34897243264044</v>
      </c>
      <c r="CZ111" s="62">
        <f t="shared" si="96"/>
        <v>268.39685058071603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3.0769230769230718</v>
      </c>
      <c r="DO111" s="13">
        <f>IF('Données projet'!$A$166&gt;35,DO110+DN111-DW110,IF(A111&lt;'Données projet'!$A$166,$DL$205^A111,IF(A111='Données projet'!$A$166,'Données projet'!$B$166,DO110+DN111-DW110)))</f>
        <v>289.99999999999989</v>
      </c>
      <c r="DP111" s="18">
        <f>DO111*VLOOKUP('Données projet'!$B$14,Paramètres!$A$1:$I$89,3,0)*VLOOKUP('Données projet'!$B$14,Paramètres!$A$1:$I$89,5,0)</f>
        <v>194.53199999999993</v>
      </c>
      <c r="DQ111" s="14">
        <f t="shared" si="97"/>
        <v>48.540534952652578</v>
      </c>
      <c r="DR111" s="22">
        <f t="shared" si="70"/>
        <v>423.35133170920312</v>
      </c>
      <c r="DS111" s="62">
        <f t="shared" si="71"/>
        <v>716.68466504253638</v>
      </c>
      <c r="DT111" s="62">
        <f ca="1">AVERAGE(OFFSET($DS$3,0,0,'Données projet'!$E$14+1,1))-AVERAGE(OFFSET($H$3,0,0,'Données projet'!$E$14+1,1))</f>
        <v>290.46086333591074</v>
      </c>
      <c r="DU111" s="62">
        <f t="shared" si="98"/>
        <v>236.8495901994267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-1.1368683772161603E-13</v>
      </c>
      <c r="EK111" s="18">
        <f>EJ111*VLOOKUP('Données projet'!$B$15,Paramètres!$A$1:$I$89,3,0)*VLOOKUP('Données projet'!$B$15,Paramètres!$A$1:$I$89,5,0)</f>
        <v>-9.2222762759774927E-14</v>
      </c>
      <c r="EL111" s="14" t="e">
        <f t="shared" si="99"/>
        <v>#NUM!</v>
      </c>
      <c r="EM111" s="22" t="e">
        <f t="shared" si="73"/>
        <v>#NUM!</v>
      </c>
      <c r="EN111" s="62" t="e">
        <f t="shared" si="74"/>
        <v>#NUM!</v>
      </c>
      <c r="EO111" s="62">
        <f ca="1">AVERAGE(OFFSET($EN$3,0,0,'Données projet'!$E$15+1,1))-AVERAGE(OFFSET($H$3,0,0,'Données projet'!$E$15+1,1))</f>
        <v>256.19915261735281</v>
      </c>
      <c r="EP111" s="62">
        <f t="shared" si="100"/>
        <v>297.47246687305056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-1.1368683772161603E-13</v>
      </c>
      <c r="O112" s="14">
        <f>N112*VLOOKUP('Données projet'!$B$9,Paramètres!$A$1:$I$89,3,0)*VLOOKUP('Données projet'!$B$9,Paramètres!$A$1:$I$89,5,0)</f>
        <v>-9.7543306765146564E-14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446.27304516866047</v>
      </c>
      <c r="T112" s="62">
        <f t="shared" si="88"/>
        <v>230.82970731138215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-3.4106051316484809E-13</v>
      </c>
      <c r="AJ112" s="14">
        <f>AI112*VLOOKUP('Données projet'!$B$10,Paramètres!$A$1:$I$89,3,0)*VLOOKUP('Données projet'!$B$10,Paramètres!$A$1:$I$89,5,0)</f>
        <v>-2.7134774427395314E-13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427.78067187784063</v>
      </c>
      <c r="AO112" s="62">
        <f t="shared" si="90"/>
        <v>464.22892523825118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1.7053025658242404E-13</v>
      </c>
      <c r="BE112" s="14">
        <f>BD112*VLOOKUP('Données projet'!$B$11,Paramètres!$A$1:$I$89,3,0)*VLOOKUP('Données projet'!$B$11,Paramètres!$A$1:$I$89,5,0)</f>
        <v>1.3301360013429075E-13</v>
      </c>
      <c r="BF112" s="14">
        <f t="shared" si="91"/>
        <v>1.9329766731057041E-12</v>
      </c>
      <c r="BG112" s="22">
        <f t="shared" si="61"/>
        <v>3.5982663925596575E-12</v>
      </c>
      <c r="BH112" s="62">
        <f t="shared" si="62"/>
        <v>293.3333333333369</v>
      </c>
      <c r="BI112" s="62">
        <f ca="1">AVERAGE(OFFSET($BH$3,0,0,'Données projet'!$E$11+1,1))-AVERAGE(OFFSET($H$3,0,0,'Données projet'!$E$11+1,1))</f>
        <v>312.09994042858187</v>
      </c>
      <c r="BJ112" s="62">
        <f t="shared" si="92"/>
        <v>283.48738729114024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-2.2737367544323206E-13</v>
      </c>
      <c r="BZ112" s="14">
        <f>BY112*VLOOKUP('Données projet'!$B$12,Paramètres!$A$1:$I$89,3,0)*VLOOKUP('Données projet'!$B$12,Paramètres!$A$1:$I$89,5,0)</f>
        <v>-1.8089849618263545E-13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370.79299728190904</v>
      </c>
      <c r="CE112" s="62">
        <f t="shared" si="94"/>
        <v>404.95703400805775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3.0769230769230744</v>
      </c>
      <c r="CT112" s="13">
        <f>IF('Données projet'!$A$140&gt;35,CT111+CS112-DB111,IF(A112&lt;'Données projet'!$A$140,$CQ$205^A112,IF(A112='Données projet'!$A$140,'Données projet'!$B$140,CT111+CS112-DB111)))</f>
        <v>242.43589743589737</v>
      </c>
      <c r="CU112" s="18">
        <f>CT112*VLOOKUP('Données projet'!$B$13,Paramètres!$A$1:$I$89,3,0)*VLOOKUP('Données projet'!$B$13,Paramètres!$A$1:$I$89,5,0)</f>
        <v>230.70199999999994</v>
      </c>
      <c r="CV112" s="14">
        <f t="shared" si="95"/>
        <v>56.434443411242938</v>
      </c>
      <c r="CW112" s="22">
        <f t="shared" si="67"/>
        <v>500.09597227458136</v>
      </c>
      <c r="CX112" s="62">
        <f t="shared" si="68"/>
        <v>793.42930560791467</v>
      </c>
      <c r="CY112" s="62">
        <f ca="1">AVERAGE(OFFSET($CX$3,0,0,'Données projet'!$E$13+1,1))-AVERAGE(OFFSET($H$3,0,0,'Données projet'!$E$13+1,1))</f>
        <v>351.34897243264044</v>
      </c>
      <c r="CZ112" s="62">
        <f t="shared" si="96"/>
        <v>268.39685058071603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3.0769230769230718</v>
      </c>
      <c r="DO112" s="13">
        <f>IF('Données projet'!$A$166&gt;35,DO111+DN112-DW111,IF(A112&lt;'Données projet'!$A$166,$DL$205^A112,IF(A112='Données projet'!$A$166,'Données projet'!$B$166,DO111+DN112-DW111)))</f>
        <v>293.07692307692298</v>
      </c>
      <c r="DP112" s="18">
        <f>DO112*VLOOKUP('Données projet'!$B$14,Paramètres!$A$1:$I$89,3,0)*VLOOKUP('Données projet'!$B$14,Paramètres!$A$1:$I$89,5,0)</f>
        <v>196.59599999999995</v>
      </c>
      <c r="DQ112" s="14">
        <f t="shared" si="97"/>
        <v>48.995325780845</v>
      </c>
      <c r="DR112" s="22">
        <f t="shared" si="70"/>
        <v>427.73822573497159</v>
      </c>
      <c r="DS112" s="62">
        <f t="shared" si="71"/>
        <v>721.07155906830485</v>
      </c>
      <c r="DT112" s="62">
        <f ca="1">AVERAGE(OFFSET($DS$3,0,0,'Données projet'!$E$14+1,1))-AVERAGE(OFFSET($H$3,0,0,'Données projet'!$E$14+1,1))</f>
        <v>290.46086333591074</v>
      </c>
      <c r="DU112" s="62">
        <f t="shared" si="98"/>
        <v>236.8495901994267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-1.1368683772161603E-13</v>
      </c>
      <c r="EK112" s="18">
        <f>EJ112*VLOOKUP('Données projet'!$B$15,Paramètres!$A$1:$I$89,3,0)*VLOOKUP('Données projet'!$B$15,Paramètres!$A$1:$I$89,5,0)</f>
        <v>-9.2222762759774927E-14</v>
      </c>
      <c r="EL112" s="14" t="e">
        <f t="shared" si="99"/>
        <v>#NUM!</v>
      </c>
      <c r="EM112" s="22" t="e">
        <f t="shared" si="73"/>
        <v>#NUM!</v>
      </c>
      <c r="EN112" s="62" t="e">
        <f t="shared" si="74"/>
        <v>#NUM!</v>
      </c>
      <c r="EO112" s="62">
        <f ca="1">AVERAGE(OFFSET($EN$3,0,0,'Données projet'!$E$15+1,1))-AVERAGE(OFFSET($H$3,0,0,'Données projet'!$E$15+1,1))</f>
        <v>256.19915261735281</v>
      </c>
      <c r="EP112" s="62">
        <f t="shared" si="100"/>
        <v>297.47246687305056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-1.1368683772161603E-13</v>
      </c>
      <c r="O113" s="14">
        <f>N113*VLOOKUP('Données projet'!$B$9,Paramètres!$A$1:$I$89,3,0)*VLOOKUP('Données projet'!$B$9,Paramètres!$A$1:$I$89,5,0)</f>
        <v>-9.7543306765146564E-14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446.27304516866047</v>
      </c>
      <c r="T113" s="62">
        <f t="shared" si="88"/>
        <v>230.82970731138215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-3.4106051316484809E-13</v>
      </c>
      <c r="AJ113" s="14">
        <f>AI113*VLOOKUP('Données projet'!$B$10,Paramètres!$A$1:$I$89,3,0)*VLOOKUP('Données projet'!$B$10,Paramètres!$A$1:$I$89,5,0)</f>
        <v>-2.7134774427395314E-13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427.78067187784063</v>
      </c>
      <c r="AO113" s="62">
        <f t="shared" si="90"/>
        <v>464.22892523825118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1.7053025658242404E-13</v>
      </c>
      <c r="BE113" s="14">
        <f>BD113*VLOOKUP('Données projet'!$B$11,Paramètres!$A$1:$I$89,3,0)*VLOOKUP('Données projet'!$B$11,Paramètres!$A$1:$I$89,5,0)</f>
        <v>1.3301360013429075E-13</v>
      </c>
      <c r="BF113" s="14">
        <f t="shared" si="91"/>
        <v>1.9329766731057041E-12</v>
      </c>
      <c r="BG113" s="22">
        <f t="shared" si="61"/>
        <v>3.5982663925596575E-12</v>
      </c>
      <c r="BH113" s="62">
        <f t="shared" si="62"/>
        <v>293.3333333333369</v>
      </c>
      <c r="BI113" s="62">
        <f ca="1">AVERAGE(OFFSET($BH$3,0,0,'Données projet'!$E$11+1,1))-AVERAGE(OFFSET($H$3,0,0,'Données projet'!$E$11+1,1))</f>
        <v>312.09994042858187</v>
      </c>
      <c r="BJ113" s="62">
        <f t="shared" si="92"/>
        <v>283.48738729114024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-2.2737367544323206E-13</v>
      </c>
      <c r="BZ113" s="14">
        <f>BY113*VLOOKUP('Données projet'!$B$12,Paramètres!$A$1:$I$89,3,0)*VLOOKUP('Données projet'!$B$12,Paramètres!$A$1:$I$89,5,0)</f>
        <v>-1.8089849618263545E-13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370.79299728190904</v>
      </c>
      <c r="CE113" s="62">
        <f t="shared" si="94"/>
        <v>404.95703400805775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245.5128205128205</v>
      </c>
      <c r="CR113" s="13">
        <f>VLOOKUP(A113,'Données projet'!$A$139:$I$159,9,0)</f>
        <v>3.0769230769230744</v>
      </c>
      <c r="CS113" s="13">
        <f t="array" ref="CS113">INDEX(CR:CR,MIN(IF(ISNUMBER(CR113:CR309),ROW(CR113:CR309),"")))</f>
        <v>3.0769230769230744</v>
      </c>
      <c r="CT113" s="13">
        <f>IF('Données projet'!$A$140&gt;35,CT112+CS113-DB112,IF(A113&lt;'Données projet'!$A$140,$CQ$205^A113,IF(A113='Données projet'!$A$140,'Données projet'!$B$140,CT112+CS113-DB112)))</f>
        <v>245.51282051282044</v>
      </c>
      <c r="CU113" s="18">
        <f>CT113*VLOOKUP('Données projet'!$B$13,Paramètres!$A$1:$I$89,3,0)*VLOOKUP('Données projet'!$B$13,Paramètres!$A$1:$I$89,5,0)</f>
        <v>233.62999999999994</v>
      </c>
      <c r="CV113" s="14">
        <f t="shared" si="95"/>
        <v>57.066855640104528</v>
      </c>
      <c r="CW113" s="22">
        <f t="shared" si="67"/>
        <v>506.29702357318189</v>
      </c>
      <c r="CX113" s="62">
        <f t="shared" si="68"/>
        <v>799.6303569065152</v>
      </c>
      <c r="CY113" s="62">
        <f ca="1">AVERAGE(OFFSET($CX$3,0,0,'Données projet'!$E$13+1,1))-AVERAGE(OFFSET($H$3,0,0,'Données projet'!$E$13+1,1))</f>
        <v>351.34897243264044</v>
      </c>
      <c r="CZ113" s="62">
        <f t="shared" si="96"/>
        <v>268.39685058071603</v>
      </c>
      <c r="DA113" s="16">
        <f>IF(ISNA(VLOOKUP(A113,'Données projet'!$A$139:$I$159,3,0)),0,VLOOKUP(A113,'Données projet'!$A$139:$I$159,3,0))</f>
        <v>10</v>
      </c>
      <c r="DB113" s="16">
        <f>IF(ISNA(VLOOKUP(A113,'Données projet'!$A$139:$I$159,4,0)),0,VLOOKUP(A113,'Données projet'!$A$139:$I$159,4,0))</f>
        <v>21.794871794871796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296.15384615384613</v>
      </c>
      <c r="DM113" s="13">
        <f>VLOOKUP(A113,'Données projet'!$A$165:$I$185,9,0)</f>
        <v>3.0769230769230718</v>
      </c>
      <c r="DN113" s="13">
        <f t="array" ref="DN113">INDEX(DM:DM,MIN(IF(ISNUMBER(DM113:DM309),ROW(DM113:DM309),"")))</f>
        <v>3.0769230769230718</v>
      </c>
      <c r="DO113" s="13">
        <f>IF('Données projet'!$A$166&gt;35,DO112+DN113-DW112,IF(A113&lt;'Données projet'!$A$166,$DL$205^A113,IF(A113='Données projet'!$A$166,'Données projet'!$B$166,DO112+DN113-DW112)))</f>
        <v>296.15384615384608</v>
      </c>
      <c r="DP113" s="18">
        <f>DO113*VLOOKUP('Données projet'!$B$14,Paramètres!$A$1:$I$89,3,0)*VLOOKUP('Données projet'!$B$14,Paramètres!$A$1:$I$89,5,0)</f>
        <v>198.65999999999994</v>
      </c>
      <c r="DQ113" s="14">
        <f t="shared" si="97"/>
        <v>49.449561161821713</v>
      </c>
      <c r="DR113" s="22">
        <f t="shared" si="70"/>
        <v>432.12415235683937</v>
      </c>
      <c r="DS113" s="62">
        <f t="shared" si="71"/>
        <v>725.45748569017269</v>
      </c>
      <c r="DT113" s="62">
        <f ca="1">AVERAGE(OFFSET($DS$3,0,0,'Données projet'!$E$14+1,1))-AVERAGE(OFFSET($H$3,0,0,'Données projet'!$E$14+1,1))</f>
        <v>290.46086333591074</v>
      </c>
      <c r="DU113" s="62">
        <f t="shared" si="98"/>
        <v>236.8495901994267</v>
      </c>
      <c r="DV113" s="16">
        <f>IF(ISNA(VLOOKUP(A113,'Données projet'!$A$165:$I$185,3,0)),0,VLOOKUP(A113,'Données projet'!$A$165:$I$185,3,0))</f>
        <v>10</v>
      </c>
      <c r="DW113" s="16">
        <f>IF(ISNA(VLOOKUP(A113,'Données projet'!$A$165:$I$185,4,0)),0,VLOOKUP(A113,'Données projet'!$A$165:$I$185,4,0))</f>
        <v>296.15384615384613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-1.1368683772161603E-13</v>
      </c>
      <c r="EK113" s="18">
        <f>EJ113*VLOOKUP('Données projet'!$B$15,Paramètres!$A$1:$I$89,3,0)*VLOOKUP('Données projet'!$B$15,Paramètres!$A$1:$I$89,5,0)</f>
        <v>-9.2222762759774927E-14</v>
      </c>
      <c r="EL113" s="14" t="e">
        <f t="shared" si="99"/>
        <v>#NUM!</v>
      </c>
      <c r="EM113" s="22" t="e">
        <f t="shared" si="73"/>
        <v>#NUM!</v>
      </c>
      <c r="EN113" s="62" t="e">
        <f t="shared" si="74"/>
        <v>#NUM!</v>
      </c>
      <c r="EO113" s="62">
        <f ca="1">AVERAGE(OFFSET($EN$3,0,0,'Données projet'!$E$15+1,1))-AVERAGE(OFFSET($H$3,0,0,'Données projet'!$E$15+1,1))</f>
        <v>256.19915261735281</v>
      </c>
      <c r="EP113" s="62">
        <f t="shared" si="100"/>
        <v>297.47246687305056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-1.1368683772161603E-13</v>
      </c>
      <c r="O114" s="14">
        <f>N114*VLOOKUP('Données projet'!$B$9,Paramètres!$A$1:$I$89,3,0)*VLOOKUP('Données projet'!$B$9,Paramètres!$A$1:$I$89,5,0)</f>
        <v>-9.7543306765146564E-14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446.27304516866047</v>
      </c>
      <c r="T114" s="62">
        <f t="shared" si="88"/>
        <v>230.82970731138215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-3.4106051316484809E-13</v>
      </c>
      <c r="AJ114" s="14">
        <f>AI114*VLOOKUP('Données projet'!$B$10,Paramètres!$A$1:$I$89,3,0)*VLOOKUP('Données projet'!$B$10,Paramètres!$A$1:$I$89,5,0)</f>
        <v>-2.7134774427395314E-13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427.78067187784063</v>
      </c>
      <c r="AO114" s="62">
        <f t="shared" si="90"/>
        <v>464.22892523825118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1.7053025658242404E-13</v>
      </c>
      <c r="BE114" s="14">
        <f>BD114*VLOOKUP('Données projet'!$B$11,Paramètres!$A$1:$I$89,3,0)*VLOOKUP('Données projet'!$B$11,Paramètres!$A$1:$I$89,5,0)</f>
        <v>1.3301360013429075E-13</v>
      </c>
      <c r="BF114" s="14">
        <f t="shared" si="91"/>
        <v>1.9329766731057041E-12</v>
      </c>
      <c r="BG114" s="22">
        <f t="shared" si="61"/>
        <v>3.5982663925596575E-12</v>
      </c>
      <c r="BH114" s="62">
        <f t="shared" si="62"/>
        <v>293.3333333333369</v>
      </c>
      <c r="BI114" s="62">
        <f ca="1">AVERAGE(OFFSET($BH$3,0,0,'Données projet'!$E$11+1,1))-AVERAGE(OFFSET($H$3,0,0,'Données projet'!$E$11+1,1))</f>
        <v>312.09994042858187</v>
      </c>
      <c r="BJ114" s="62">
        <f t="shared" si="92"/>
        <v>283.48738729114024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-2.2737367544323206E-13</v>
      </c>
      <c r="BZ114" s="14">
        <f>BY114*VLOOKUP('Données projet'!$B$12,Paramètres!$A$1:$I$89,3,0)*VLOOKUP('Données projet'!$B$12,Paramètres!$A$1:$I$89,5,0)</f>
        <v>-1.8089849618263545E-13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370.79299728190904</v>
      </c>
      <c r="CE114" s="62">
        <f t="shared" si="94"/>
        <v>404.95703400805775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2.7564102564102568</v>
      </c>
      <c r="CT114" s="13">
        <f>IF('Données projet'!$A$140&gt;35,CT113+CS114-DB113,IF(A114&lt;'Données projet'!$A$140,$CQ$205^A114,IF(A114='Données projet'!$A$140,'Données projet'!$B$140,CT113+CS114-DB113)))</f>
        <v>226.47435897435889</v>
      </c>
      <c r="CU114" s="18">
        <f>CT114*VLOOKUP('Données projet'!$B$13,Paramètres!$A$1:$I$89,3,0)*VLOOKUP('Données projet'!$B$13,Paramètres!$A$1:$I$89,5,0)</f>
        <v>215.51299999999995</v>
      </c>
      <c r="CV114" s="14">
        <f t="shared" si="95"/>
        <v>53.138491948042898</v>
      </c>
      <c r="CW114" s="22">
        <f t="shared" si="67"/>
        <v>467.90134847617463</v>
      </c>
      <c r="CX114" s="62">
        <f t="shared" si="68"/>
        <v>761.23468180950795</v>
      </c>
      <c r="CY114" s="62">
        <f ca="1">AVERAGE(OFFSET($CX$3,0,0,'Données projet'!$E$13+1,1))-AVERAGE(OFFSET($H$3,0,0,'Données projet'!$E$13+1,1))</f>
        <v>351.34897243264044</v>
      </c>
      <c r="CZ114" s="62">
        <f t="shared" si="96"/>
        <v>268.39685058071603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-5.6843418860808015E-14</v>
      </c>
      <c r="DP114" s="18">
        <f>DO114*VLOOKUP('Données projet'!$B$14,Paramètres!$A$1:$I$89,3,0)*VLOOKUP('Données projet'!$B$14,Paramètres!$A$1:$I$89,5,0)</f>
        <v>-3.813056537183002E-14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290.46086333591074</v>
      </c>
      <c r="DU114" s="62">
        <f t="shared" si="98"/>
        <v>236.8495901994267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-1.1368683772161603E-13</v>
      </c>
      <c r="EK114" s="18">
        <f>EJ114*VLOOKUP('Données projet'!$B$15,Paramètres!$A$1:$I$89,3,0)*VLOOKUP('Données projet'!$B$15,Paramètres!$A$1:$I$89,5,0)</f>
        <v>-9.2222762759774927E-14</v>
      </c>
      <c r="EL114" s="14" t="e">
        <f t="shared" si="99"/>
        <v>#NUM!</v>
      </c>
      <c r="EM114" s="22" t="e">
        <f t="shared" si="73"/>
        <v>#NUM!</v>
      </c>
      <c r="EN114" s="62" t="e">
        <f t="shared" si="74"/>
        <v>#NUM!</v>
      </c>
      <c r="EO114" s="62">
        <f ca="1">AVERAGE(OFFSET($EN$3,0,0,'Données projet'!$E$15+1,1))-AVERAGE(OFFSET($H$3,0,0,'Données projet'!$E$15+1,1))</f>
        <v>256.19915261735281</v>
      </c>
      <c r="EP114" s="62">
        <f t="shared" si="100"/>
        <v>297.47246687305056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-1.1368683772161603E-13</v>
      </c>
      <c r="O115" s="14">
        <f>N115*VLOOKUP('Données projet'!$B$9,Paramètres!$A$1:$I$89,3,0)*VLOOKUP('Données projet'!$B$9,Paramètres!$A$1:$I$89,5,0)</f>
        <v>-9.7543306765146564E-14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446.27304516866047</v>
      </c>
      <c r="T115" s="62">
        <f t="shared" si="88"/>
        <v>230.82970731138215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-3.4106051316484809E-13</v>
      </c>
      <c r="AJ115" s="14">
        <f>AI115*VLOOKUP('Données projet'!$B$10,Paramètres!$A$1:$I$89,3,0)*VLOOKUP('Données projet'!$B$10,Paramètres!$A$1:$I$89,5,0)</f>
        <v>-2.7134774427395314E-13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427.78067187784063</v>
      </c>
      <c r="AO115" s="62">
        <f t="shared" si="90"/>
        <v>464.22892523825118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1.7053025658242404E-13</v>
      </c>
      <c r="BE115" s="14">
        <f>BD115*VLOOKUP('Données projet'!$B$11,Paramètres!$A$1:$I$89,3,0)*VLOOKUP('Données projet'!$B$11,Paramètres!$A$1:$I$89,5,0)</f>
        <v>1.3301360013429075E-13</v>
      </c>
      <c r="BF115" s="14">
        <f t="shared" si="91"/>
        <v>1.9329766731057041E-12</v>
      </c>
      <c r="BG115" s="22">
        <f t="shared" si="61"/>
        <v>3.5982663925596575E-12</v>
      </c>
      <c r="BH115" s="62">
        <f t="shared" si="62"/>
        <v>293.3333333333369</v>
      </c>
      <c r="BI115" s="62">
        <f ca="1">AVERAGE(OFFSET($BH$3,0,0,'Données projet'!$E$11+1,1))-AVERAGE(OFFSET($H$3,0,0,'Données projet'!$E$11+1,1))</f>
        <v>312.09994042858187</v>
      </c>
      <c r="BJ115" s="62">
        <f t="shared" si="92"/>
        <v>283.48738729114024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-2.2737367544323206E-13</v>
      </c>
      <c r="BZ115" s="14">
        <f>BY115*VLOOKUP('Données projet'!$B$12,Paramètres!$A$1:$I$89,3,0)*VLOOKUP('Données projet'!$B$12,Paramètres!$A$1:$I$89,5,0)</f>
        <v>-1.8089849618263545E-13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370.79299728190904</v>
      </c>
      <c r="CE115" s="62">
        <f t="shared" si="94"/>
        <v>404.95703400805775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2.7564102564102568</v>
      </c>
      <c r="CT115" s="13">
        <f>IF('Données projet'!$A$140&gt;35,CT114+CS115-DB114,IF(A115&lt;'Données projet'!$A$140,$CQ$205^A115,IF(A115='Données projet'!$A$140,'Données projet'!$B$140,CT114+CS115-DB114)))</f>
        <v>229.23076923076914</v>
      </c>
      <c r="CU115" s="18">
        <f>CT115*VLOOKUP('Données projet'!$B$13,Paramètres!$A$1:$I$89,3,0)*VLOOKUP('Données projet'!$B$13,Paramètres!$A$1:$I$89,5,0)</f>
        <v>218.13599999999991</v>
      </c>
      <c r="CV115" s="14">
        <f t="shared" si="95"/>
        <v>53.709554122184592</v>
      </c>
      <c r="CW115" s="22">
        <f t="shared" si="67"/>
        <v>473.46434009613796</v>
      </c>
      <c r="CX115" s="62">
        <f t="shared" si="68"/>
        <v>766.79767342947127</v>
      </c>
      <c r="CY115" s="62">
        <f ca="1">AVERAGE(OFFSET($CX$3,0,0,'Données projet'!$E$13+1,1))-AVERAGE(OFFSET($H$3,0,0,'Données projet'!$E$13+1,1))</f>
        <v>351.34897243264044</v>
      </c>
      <c r="CZ115" s="62">
        <f t="shared" si="96"/>
        <v>268.39685058071603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-5.6843418860808015E-14</v>
      </c>
      <c r="DP115" s="18">
        <f>DO115*VLOOKUP('Données projet'!$B$14,Paramètres!$A$1:$I$89,3,0)*VLOOKUP('Données projet'!$B$14,Paramètres!$A$1:$I$89,5,0)</f>
        <v>-3.813056537183002E-14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290.46086333591074</v>
      </c>
      <c r="DU115" s="62">
        <f t="shared" si="98"/>
        <v>236.8495901994267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-1.1368683772161603E-13</v>
      </c>
      <c r="EK115" s="18">
        <f>EJ115*VLOOKUP('Données projet'!$B$15,Paramètres!$A$1:$I$89,3,0)*VLOOKUP('Données projet'!$B$15,Paramètres!$A$1:$I$89,5,0)</f>
        <v>-9.2222762759774927E-14</v>
      </c>
      <c r="EL115" s="14" t="e">
        <f t="shared" si="99"/>
        <v>#NUM!</v>
      </c>
      <c r="EM115" s="22" t="e">
        <f t="shared" si="73"/>
        <v>#NUM!</v>
      </c>
      <c r="EN115" s="62" t="e">
        <f t="shared" si="74"/>
        <v>#NUM!</v>
      </c>
      <c r="EO115" s="62">
        <f ca="1">AVERAGE(OFFSET($EN$3,0,0,'Données projet'!$E$15+1,1))-AVERAGE(OFFSET($H$3,0,0,'Données projet'!$E$15+1,1))</f>
        <v>256.19915261735281</v>
      </c>
      <c r="EP115" s="62">
        <f t="shared" si="100"/>
        <v>297.47246687305056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-1.1368683772161603E-13</v>
      </c>
      <c r="O116" s="14">
        <f>N116*VLOOKUP('Données projet'!$B$9,Paramètres!$A$1:$I$89,3,0)*VLOOKUP('Données projet'!$B$9,Paramètres!$A$1:$I$89,5,0)</f>
        <v>-9.7543306765146564E-14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446.27304516866047</v>
      </c>
      <c r="T116" s="62">
        <f t="shared" si="88"/>
        <v>230.82970731138215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-3.4106051316484809E-13</v>
      </c>
      <c r="AJ116" s="14">
        <f>AI116*VLOOKUP('Données projet'!$B$10,Paramètres!$A$1:$I$89,3,0)*VLOOKUP('Données projet'!$B$10,Paramètres!$A$1:$I$89,5,0)</f>
        <v>-2.7134774427395314E-13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427.78067187784063</v>
      </c>
      <c r="AO116" s="62">
        <f t="shared" si="90"/>
        <v>464.22892523825118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1.7053025658242404E-13</v>
      </c>
      <c r="BE116" s="14">
        <f>BD116*VLOOKUP('Données projet'!$B$11,Paramètres!$A$1:$I$89,3,0)*VLOOKUP('Données projet'!$B$11,Paramètres!$A$1:$I$89,5,0)</f>
        <v>1.3301360013429075E-13</v>
      </c>
      <c r="BF116" s="14">
        <f t="shared" si="91"/>
        <v>1.9329766731057041E-12</v>
      </c>
      <c r="BG116" s="22">
        <f t="shared" si="61"/>
        <v>3.5982663925596575E-12</v>
      </c>
      <c r="BH116" s="62">
        <f t="shared" si="62"/>
        <v>293.3333333333369</v>
      </c>
      <c r="BI116" s="62">
        <f ca="1">AVERAGE(OFFSET($BH$3,0,0,'Données projet'!$E$11+1,1))-AVERAGE(OFFSET($H$3,0,0,'Données projet'!$E$11+1,1))</f>
        <v>312.09994042858187</v>
      </c>
      <c r="BJ116" s="62">
        <f t="shared" si="92"/>
        <v>283.48738729114024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-2.2737367544323206E-13</v>
      </c>
      <c r="BZ116" s="14">
        <f>BY116*VLOOKUP('Données projet'!$B$12,Paramètres!$A$1:$I$89,3,0)*VLOOKUP('Données projet'!$B$12,Paramètres!$A$1:$I$89,5,0)</f>
        <v>-1.8089849618263545E-13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370.79299728190904</v>
      </c>
      <c r="CE116" s="62">
        <f t="shared" si="94"/>
        <v>404.95703400805775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2.7564102564102568</v>
      </c>
      <c r="CT116" s="13">
        <f>IF('Données projet'!$A$140&gt;35,CT115+CS116-DB115,IF(A116&lt;'Données projet'!$A$140,$CQ$205^A116,IF(A116='Données projet'!$A$140,'Données projet'!$B$140,CT115+CS116-DB115)))</f>
        <v>231.98717948717939</v>
      </c>
      <c r="CU116" s="18">
        <f>CT116*VLOOKUP('Données projet'!$B$13,Paramètres!$A$1:$I$89,3,0)*VLOOKUP('Données projet'!$B$13,Paramètres!$A$1:$I$89,5,0)</f>
        <v>220.7589999999999</v>
      </c>
      <c r="CV116" s="14">
        <f t="shared" si="95"/>
        <v>54.279817539670319</v>
      </c>
      <c r="CW116" s="22">
        <f t="shared" si="67"/>
        <v>479.02594054825903</v>
      </c>
      <c r="CX116" s="62">
        <f t="shared" si="68"/>
        <v>772.35927388159234</v>
      </c>
      <c r="CY116" s="62">
        <f ca="1">AVERAGE(OFFSET($CX$3,0,0,'Données projet'!$E$13+1,1))-AVERAGE(OFFSET($H$3,0,0,'Données projet'!$E$13+1,1))</f>
        <v>351.34897243264044</v>
      </c>
      <c r="CZ116" s="62">
        <f t="shared" si="96"/>
        <v>268.39685058071603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-5.6843418860808015E-14</v>
      </c>
      <c r="DP116" s="18">
        <f>DO116*VLOOKUP('Données projet'!$B$14,Paramètres!$A$1:$I$89,3,0)*VLOOKUP('Données projet'!$B$14,Paramètres!$A$1:$I$89,5,0)</f>
        <v>-3.813056537183002E-14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290.46086333591074</v>
      </c>
      <c r="DU116" s="62">
        <f t="shared" si="98"/>
        <v>236.8495901994267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-1.1368683772161603E-13</v>
      </c>
      <c r="EK116" s="18">
        <f>EJ116*VLOOKUP('Données projet'!$B$15,Paramètres!$A$1:$I$89,3,0)*VLOOKUP('Données projet'!$B$15,Paramètres!$A$1:$I$89,5,0)</f>
        <v>-9.2222762759774927E-14</v>
      </c>
      <c r="EL116" s="14" t="e">
        <f t="shared" si="99"/>
        <v>#NUM!</v>
      </c>
      <c r="EM116" s="22" t="e">
        <f t="shared" si="73"/>
        <v>#NUM!</v>
      </c>
      <c r="EN116" s="62" t="e">
        <f t="shared" si="74"/>
        <v>#NUM!</v>
      </c>
      <c r="EO116" s="62">
        <f ca="1">AVERAGE(OFFSET($EN$3,0,0,'Données projet'!$E$15+1,1))-AVERAGE(OFFSET($H$3,0,0,'Données projet'!$E$15+1,1))</f>
        <v>256.19915261735281</v>
      </c>
      <c r="EP116" s="62">
        <f t="shared" si="100"/>
        <v>297.47246687305056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-1.1368683772161603E-13</v>
      </c>
      <c r="O117" s="14">
        <f>N117*VLOOKUP('Données projet'!$B$9,Paramètres!$A$1:$I$89,3,0)*VLOOKUP('Données projet'!$B$9,Paramètres!$A$1:$I$89,5,0)</f>
        <v>-9.7543306765146564E-14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446.27304516866047</v>
      </c>
      <c r="T117" s="62">
        <f t="shared" si="88"/>
        <v>230.82970731138215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-3.4106051316484809E-13</v>
      </c>
      <c r="AJ117" s="14">
        <f>AI117*VLOOKUP('Données projet'!$B$10,Paramètres!$A$1:$I$89,3,0)*VLOOKUP('Données projet'!$B$10,Paramètres!$A$1:$I$89,5,0)</f>
        <v>-2.7134774427395314E-13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427.78067187784063</v>
      </c>
      <c r="AO117" s="62">
        <f t="shared" si="90"/>
        <v>464.22892523825118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1.7053025658242404E-13</v>
      </c>
      <c r="BE117" s="14">
        <f>BD117*VLOOKUP('Données projet'!$B$11,Paramètres!$A$1:$I$89,3,0)*VLOOKUP('Données projet'!$B$11,Paramètres!$A$1:$I$89,5,0)</f>
        <v>1.3301360013429075E-13</v>
      </c>
      <c r="BF117" s="14">
        <f t="shared" si="91"/>
        <v>1.9329766731057041E-12</v>
      </c>
      <c r="BG117" s="22">
        <f t="shared" si="61"/>
        <v>3.5982663925596575E-12</v>
      </c>
      <c r="BH117" s="62">
        <f t="shared" si="62"/>
        <v>293.3333333333369</v>
      </c>
      <c r="BI117" s="62">
        <f ca="1">AVERAGE(OFFSET($BH$3,0,0,'Données projet'!$E$11+1,1))-AVERAGE(OFFSET($H$3,0,0,'Données projet'!$E$11+1,1))</f>
        <v>312.09994042858187</v>
      </c>
      <c r="BJ117" s="62">
        <f t="shared" si="92"/>
        <v>283.48738729114024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-2.2737367544323206E-13</v>
      </c>
      <c r="BZ117" s="14">
        <f>BY117*VLOOKUP('Données projet'!$B$12,Paramètres!$A$1:$I$89,3,0)*VLOOKUP('Données projet'!$B$12,Paramètres!$A$1:$I$89,5,0)</f>
        <v>-1.8089849618263545E-13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370.79299728190904</v>
      </c>
      <c r="CE117" s="62">
        <f t="shared" si="94"/>
        <v>404.95703400805775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2.7564102564102568</v>
      </c>
      <c r="CT117" s="13">
        <f>IF('Données projet'!$A$140&gt;35,CT116+CS117-DB116,IF(A117&lt;'Données projet'!$A$140,$CQ$205^A117,IF(A117='Données projet'!$A$140,'Données projet'!$B$140,CT116+CS117-DB116)))</f>
        <v>234.74358974358964</v>
      </c>
      <c r="CU117" s="18">
        <f>CT117*VLOOKUP('Données projet'!$B$13,Paramètres!$A$1:$I$89,3,0)*VLOOKUP('Données projet'!$B$13,Paramètres!$A$1:$I$89,5,0)</f>
        <v>223.38199999999992</v>
      </c>
      <c r="CV117" s="14">
        <f t="shared" si="95"/>
        <v>54.849292789000252</v>
      </c>
      <c r="CW117" s="22">
        <f t="shared" si="67"/>
        <v>484.58616827417524</v>
      </c>
      <c r="CX117" s="62">
        <f t="shared" si="68"/>
        <v>777.91950160750855</v>
      </c>
      <c r="CY117" s="62">
        <f ca="1">AVERAGE(OFFSET($CX$3,0,0,'Données projet'!$E$13+1,1))-AVERAGE(OFFSET($H$3,0,0,'Données projet'!$E$13+1,1))</f>
        <v>351.34897243264044</v>
      </c>
      <c r="CZ117" s="62">
        <f t="shared" si="96"/>
        <v>268.39685058071603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-5.6843418860808015E-14</v>
      </c>
      <c r="DP117" s="18">
        <f>DO117*VLOOKUP('Données projet'!$B$14,Paramètres!$A$1:$I$89,3,0)*VLOOKUP('Données projet'!$B$14,Paramètres!$A$1:$I$89,5,0)</f>
        <v>-3.813056537183002E-14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290.46086333591074</v>
      </c>
      <c r="DU117" s="62">
        <f t="shared" si="98"/>
        <v>236.8495901994267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-1.1368683772161603E-13</v>
      </c>
      <c r="EK117" s="18">
        <f>EJ117*VLOOKUP('Données projet'!$B$15,Paramètres!$A$1:$I$89,3,0)*VLOOKUP('Données projet'!$B$15,Paramètres!$A$1:$I$89,5,0)</f>
        <v>-9.2222762759774927E-14</v>
      </c>
      <c r="EL117" s="14" t="e">
        <f t="shared" si="99"/>
        <v>#NUM!</v>
      </c>
      <c r="EM117" s="22" t="e">
        <f t="shared" si="73"/>
        <v>#NUM!</v>
      </c>
      <c r="EN117" s="62" t="e">
        <f t="shared" si="74"/>
        <v>#NUM!</v>
      </c>
      <c r="EO117" s="62">
        <f ca="1">AVERAGE(OFFSET($EN$3,0,0,'Données projet'!$E$15+1,1))-AVERAGE(OFFSET($H$3,0,0,'Données projet'!$E$15+1,1))</f>
        <v>256.19915261735281</v>
      </c>
      <c r="EP117" s="62">
        <f t="shared" si="100"/>
        <v>297.47246687305056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-1.1368683772161603E-13</v>
      </c>
      <c r="O118" s="14">
        <f>N118*VLOOKUP('Données projet'!$B$9,Paramètres!$A$1:$I$89,3,0)*VLOOKUP('Données projet'!$B$9,Paramètres!$A$1:$I$89,5,0)</f>
        <v>-9.7543306765146564E-14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446.27304516866047</v>
      </c>
      <c r="T118" s="62">
        <f t="shared" si="88"/>
        <v>230.82970731138215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-3.4106051316484809E-13</v>
      </c>
      <c r="AJ118" s="14">
        <f>AI118*VLOOKUP('Données projet'!$B$10,Paramètres!$A$1:$I$89,3,0)*VLOOKUP('Données projet'!$B$10,Paramètres!$A$1:$I$89,5,0)</f>
        <v>-2.7134774427395314E-13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427.78067187784063</v>
      </c>
      <c r="AO118" s="62">
        <f t="shared" si="90"/>
        <v>464.22892523825118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1.7053025658242404E-13</v>
      </c>
      <c r="BE118" s="14">
        <f>BD118*VLOOKUP('Données projet'!$B$11,Paramètres!$A$1:$I$89,3,0)*VLOOKUP('Données projet'!$B$11,Paramètres!$A$1:$I$89,5,0)</f>
        <v>1.3301360013429075E-13</v>
      </c>
      <c r="BF118" s="14">
        <f t="shared" si="91"/>
        <v>1.9329766731057041E-12</v>
      </c>
      <c r="BG118" s="22">
        <f t="shared" si="61"/>
        <v>3.5982663925596575E-12</v>
      </c>
      <c r="BH118" s="62">
        <f t="shared" si="62"/>
        <v>293.3333333333369</v>
      </c>
      <c r="BI118" s="62">
        <f ca="1">AVERAGE(OFFSET($BH$3,0,0,'Données projet'!$E$11+1,1))-AVERAGE(OFFSET($H$3,0,0,'Données projet'!$E$11+1,1))</f>
        <v>312.09994042858187</v>
      </c>
      <c r="BJ118" s="62">
        <f t="shared" si="92"/>
        <v>283.48738729114024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-2.2737367544323206E-13</v>
      </c>
      <c r="BZ118" s="14">
        <f>BY118*VLOOKUP('Données projet'!$B$12,Paramètres!$A$1:$I$89,3,0)*VLOOKUP('Données projet'!$B$12,Paramètres!$A$1:$I$89,5,0)</f>
        <v>-1.8089849618263545E-13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370.79299728190904</v>
      </c>
      <c r="CE118" s="62">
        <f t="shared" si="94"/>
        <v>404.95703400805775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2.7564102564102568</v>
      </c>
      <c r="CT118" s="13">
        <f>IF('Données projet'!$A$140&gt;35,CT117+CS118-DB117,IF(A118&lt;'Données projet'!$A$140,$CQ$205^A118,IF(A118='Données projet'!$A$140,'Données projet'!$B$140,CT117+CS118-DB117)))</f>
        <v>237.49999999999989</v>
      </c>
      <c r="CU118" s="18">
        <f>CT118*VLOOKUP('Données projet'!$B$13,Paramètres!$A$1:$I$89,3,0)*VLOOKUP('Données projet'!$B$13,Paramètres!$A$1:$I$89,5,0)</f>
        <v>226.00499999999988</v>
      </c>
      <c r="CV118" s="14">
        <f t="shared" si="95"/>
        <v>55.417990195699112</v>
      </c>
      <c r="CW118" s="22">
        <f t="shared" si="67"/>
        <v>490.14504125750909</v>
      </c>
      <c r="CX118" s="62">
        <f t="shared" si="68"/>
        <v>783.47837459084235</v>
      </c>
      <c r="CY118" s="62">
        <f ca="1">AVERAGE(OFFSET($CX$3,0,0,'Données projet'!$E$13+1,1))-AVERAGE(OFFSET($H$3,0,0,'Données projet'!$E$13+1,1))</f>
        <v>351.34897243264044</v>
      </c>
      <c r="CZ118" s="62">
        <f t="shared" si="96"/>
        <v>268.39685058071603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-5.6843418860808015E-14</v>
      </c>
      <c r="DP118" s="18">
        <f>DO118*VLOOKUP('Données projet'!$B$14,Paramètres!$A$1:$I$89,3,0)*VLOOKUP('Données projet'!$B$14,Paramètres!$A$1:$I$89,5,0)</f>
        <v>-3.813056537183002E-14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290.46086333591074</v>
      </c>
      <c r="DU118" s="62">
        <f t="shared" si="98"/>
        <v>236.8495901994267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-1.1368683772161603E-13</v>
      </c>
      <c r="EK118" s="18">
        <f>EJ118*VLOOKUP('Données projet'!$B$15,Paramètres!$A$1:$I$89,3,0)*VLOOKUP('Données projet'!$B$15,Paramètres!$A$1:$I$89,5,0)</f>
        <v>-9.2222762759774927E-14</v>
      </c>
      <c r="EL118" s="14" t="e">
        <f t="shared" si="99"/>
        <v>#NUM!</v>
      </c>
      <c r="EM118" s="22" t="e">
        <f t="shared" si="73"/>
        <v>#NUM!</v>
      </c>
      <c r="EN118" s="62" t="e">
        <f t="shared" si="74"/>
        <v>#NUM!</v>
      </c>
      <c r="EO118" s="62">
        <f ca="1">AVERAGE(OFFSET($EN$3,0,0,'Données projet'!$E$15+1,1))-AVERAGE(OFFSET($H$3,0,0,'Données projet'!$E$15+1,1))</f>
        <v>256.19915261735281</v>
      </c>
      <c r="EP118" s="62">
        <f t="shared" si="100"/>
        <v>297.47246687305056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-1.1368683772161603E-13</v>
      </c>
      <c r="O119" s="14">
        <f>N119*VLOOKUP('Données projet'!$B$9,Paramètres!$A$1:$I$89,3,0)*VLOOKUP('Données projet'!$B$9,Paramètres!$A$1:$I$89,5,0)</f>
        <v>-9.7543306765146564E-14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446.27304516866047</v>
      </c>
      <c r="T119" s="62">
        <f t="shared" si="88"/>
        <v>230.82970731138215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-3.4106051316484809E-13</v>
      </c>
      <c r="AJ119" s="14">
        <f>AI119*VLOOKUP('Données projet'!$B$10,Paramètres!$A$1:$I$89,3,0)*VLOOKUP('Données projet'!$B$10,Paramètres!$A$1:$I$89,5,0)</f>
        <v>-2.7134774427395314E-13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427.78067187784063</v>
      </c>
      <c r="AO119" s="62">
        <f t="shared" si="90"/>
        <v>464.22892523825118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1.7053025658242404E-13</v>
      </c>
      <c r="BE119" s="14">
        <f>BD119*VLOOKUP('Données projet'!$B$11,Paramètres!$A$1:$I$89,3,0)*VLOOKUP('Données projet'!$B$11,Paramètres!$A$1:$I$89,5,0)</f>
        <v>1.3301360013429075E-13</v>
      </c>
      <c r="BF119" s="14">
        <f t="shared" si="91"/>
        <v>1.9329766731057041E-12</v>
      </c>
      <c r="BG119" s="22">
        <f t="shared" si="61"/>
        <v>3.5982663925596575E-12</v>
      </c>
      <c r="BH119" s="62">
        <f t="shared" si="62"/>
        <v>293.3333333333369</v>
      </c>
      <c r="BI119" s="62">
        <f ca="1">AVERAGE(OFFSET($BH$3,0,0,'Données projet'!$E$11+1,1))-AVERAGE(OFFSET($H$3,0,0,'Données projet'!$E$11+1,1))</f>
        <v>312.09994042858187</v>
      </c>
      <c r="BJ119" s="62">
        <f t="shared" si="92"/>
        <v>283.48738729114024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-2.2737367544323206E-13</v>
      </c>
      <c r="BZ119" s="14">
        <f>BY119*VLOOKUP('Données projet'!$B$12,Paramètres!$A$1:$I$89,3,0)*VLOOKUP('Données projet'!$B$12,Paramètres!$A$1:$I$89,5,0)</f>
        <v>-1.8089849618263545E-13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370.79299728190904</v>
      </c>
      <c r="CE119" s="62">
        <f t="shared" si="94"/>
        <v>404.95703400805775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2.7564102564102568</v>
      </c>
      <c r="CT119" s="13">
        <f>IF('Données projet'!$A$140&gt;35,CT118+CS119-DB118,IF(A119&lt;'Données projet'!$A$140,$CQ$205^A119,IF(A119='Données projet'!$A$140,'Données projet'!$B$140,CT118+CS119-DB118)))</f>
        <v>240.25641025641013</v>
      </c>
      <c r="CU119" s="18">
        <f>CT119*VLOOKUP('Données projet'!$B$13,Paramètres!$A$1:$I$89,3,0)*VLOOKUP('Données projet'!$B$13,Paramètres!$A$1:$I$89,5,0)</f>
        <v>228.62799999999987</v>
      </c>
      <c r="CV119" s="14">
        <f t="shared" si="95"/>
        <v>55.98591983182213</v>
      </c>
      <c r="CW119" s="22">
        <f t="shared" si="67"/>
        <v>495.70257704042325</v>
      </c>
      <c r="CX119" s="62">
        <f t="shared" si="68"/>
        <v>789.03591037375656</v>
      </c>
      <c r="CY119" s="62">
        <f ca="1">AVERAGE(OFFSET($CX$3,0,0,'Données projet'!$E$13+1,1))-AVERAGE(OFFSET($H$3,0,0,'Données projet'!$E$13+1,1))</f>
        <v>351.34897243264044</v>
      </c>
      <c r="CZ119" s="62">
        <f t="shared" si="96"/>
        <v>268.39685058071603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-5.6843418860808015E-14</v>
      </c>
      <c r="DP119" s="18">
        <f>DO119*VLOOKUP('Données projet'!$B$14,Paramètres!$A$1:$I$89,3,0)*VLOOKUP('Données projet'!$B$14,Paramètres!$A$1:$I$89,5,0)</f>
        <v>-3.813056537183002E-14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290.46086333591074</v>
      </c>
      <c r="DU119" s="62">
        <f t="shared" si="98"/>
        <v>236.8495901994267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-1.1368683772161603E-13</v>
      </c>
      <c r="EK119" s="18">
        <f>EJ119*VLOOKUP('Données projet'!$B$15,Paramètres!$A$1:$I$89,3,0)*VLOOKUP('Données projet'!$B$15,Paramètres!$A$1:$I$89,5,0)</f>
        <v>-9.2222762759774927E-14</v>
      </c>
      <c r="EL119" s="14" t="e">
        <f t="shared" si="99"/>
        <v>#NUM!</v>
      </c>
      <c r="EM119" s="22" t="e">
        <f t="shared" si="73"/>
        <v>#NUM!</v>
      </c>
      <c r="EN119" s="62" t="e">
        <f t="shared" si="74"/>
        <v>#NUM!</v>
      </c>
      <c r="EO119" s="62">
        <f ca="1">AVERAGE(OFFSET($EN$3,0,0,'Données projet'!$E$15+1,1))-AVERAGE(OFFSET($H$3,0,0,'Données projet'!$E$15+1,1))</f>
        <v>256.19915261735281</v>
      </c>
      <c r="EP119" s="62">
        <f t="shared" si="100"/>
        <v>297.47246687305056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-1.1368683772161603E-13</v>
      </c>
      <c r="O120" s="14">
        <f>N120*VLOOKUP('Données projet'!$B$9,Paramètres!$A$1:$I$89,3,0)*VLOOKUP('Données projet'!$B$9,Paramètres!$A$1:$I$89,5,0)</f>
        <v>-9.7543306765146564E-14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446.27304516866047</v>
      </c>
      <c r="T120" s="62">
        <f t="shared" si="88"/>
        <v>230.82970731138215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-3.4106051316484809E-13</v>
      </c>
      <c r="AJ120" s="14">
        <f>AI120*VLOOKUP('Données projet'!$B$10,Paramètres!$A$1:$I$89,3,0)*VLOOKUP('Données projet'!$B$10,Paramètres!$A$1:$I$89,5,0)</f>
        <v>-2.7134774427395314E-13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427.78067187784063</v>
      </c>
      <c r="AO120" s="62">
        <f t="shared" si="90"/>
        <v>464.22892523825118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1.7053025658242404E-13</v>
      </c>
      <c r="BE120" s="14">
        <f>BD120*VLOOKUP('Données projet'!$B$11,Paramètres!$A$1:$I$89,3,0)*VLOOKUP('Données projet'!$B$11,Paramètres!$A$1:$I$89,5,0)</f>
        <v>1.3301360013429075E-13</v>
      </c>
      <c r="BF120" s="14">
        <f t="shared" si="91"/>
        <v>1.9329766731057041E-12</v>
      </c>
      <c r="BG120" s="22">
        <f t="shared" si="61"/>
        <v>3.5982663925596575E-12</v>
      </c>
      <c r="BH120" s="62">
        <f t="shared" si="62"/>
        <v>293.3333333333369</v>
      </c>
      <c r="BI120" s="62">
        <f ca="1">AVERAGE(OFFSET($BH$3,0,0,'Données projet'!$E$11+1,1))-AVERAGE(OFFSET($H$3,0,0,'Données projet'!$E$11+1,1))</f>
        <v>312.09994042858187</v>
      </c>
      <c r="BJ120" s="62">
        <f t="shared" si="92"/>
        <v>283.48738729114024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-2.2737367544323206E-13</v>
      </c>
      <c r="BZ120" s="14">
        <f>BY120*VLOOKUP('Données projet'!$B$12,Paramètres!$A$1:$I$89,3,0)*VLOOKUP('Données projet'!$B$12,Paramètres!$A$1:$I$89,5,0)</f>
        <v>-1.8089849618263545E-13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370.79299728190904</v>
      </c>
      <c r="CE120" s="62">
        <f t="shared" si="94"/>
        <v>404.95703400805775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2.7564102564102568</v>
      </c>
      <c r="CT120" s="13">
        <f>IF('Données projet'!$A$140&gt;35,CT119+CS120-DB119,IF(A120&lt;'Données projet'!$A$140,$CQ$205^A120,IF(A120='Données projet'!$A$140,'Données projet'!$B$140,CT119+CS120-DB119)))</f>
        <v>243.01282051282038</v>
      </c>
      <c r="CU120" s="18">
        <f>CT120*VLOOKUP('Données projet'!$B$13,Paramètres!$A$1:$I$89,3,0)*VLOOKUP('Données projet'!$B$13,Paramètres!$A$1:$I$89,5,0)</f>
        <v>231.25099999999989</v>
      </c>
      <c r="CV120" s="14">
        <f t="shared" si="95"/>
        <v>56.553091525012086</v>
      </c>
      <c r="CW120" s="22">
        <f t="shared" si="67"/>
        <v>501.25879273939586</v>
      </c>
      <c r="CX120" s="62">
        <f t="shared" si="68"/>
        <v>794.59212607272912</v>
      </c>
      <c r="CY120" s="62">
        <f ca="1">AVERAGE(OFFSET($CX$3,0,0,'Données projet'!$E$13+1,1))-AVERAGE(OFFSET($H$3,0,0,'Données projet'!$E$13+1,1))</f>
        <v>351.34897243264044</v>
      </c>
      <c r="CZ120" s="62">
        <f t="shared" si="96"/>
        <v>268.39685058071603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-5.6843418860808015E-14</v>
      </c>
      <c r="DP120" s="18">
        <f>DO120*VLOOKUP('Données projet'!$B$14,Paramètres!$A$1:$I$89,3,0)*VLOOKUP('Données projet'!$B$14,Paramètres!$A$1:$I$89,5,0)</f>
        <v>-3.813056537183002E-14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290.46086333591074</v>
      </c>
      <c r="DU120" s="62">
        <f t="shared" si="98"/>
        <v>236.8495901994267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-1.1368683772161603E-13</v>
      </c>
      <c r="EK120" s="18">
        <f>EJ120*VLOOKUP('Données projet'!$B$15,Paramètres!$A$1:$I$89,3,0)*VLOOKUP('Données projet'!$B$15,Paramètres!$A$1:$I$89,5,0)</f>
        <v>-9.2222762759774927E-14</v>
      </c>
      <c r="EL120" s="14" t="e">
        <f t="shared" si="99"/>
        <v>#NUM!</v>
      </c>
      <c r="EM120" s="22" t="e">
        <f t="shared" si="73"/>
        <v>#NUM!</v>
      </c>
      <c r="EN120" s="62" t="e">
        <f t="shared" si="74"/>
        <v>#NUM!</v>
      </c>
      <c r="EO120" s="62">
        <f ca="1">AVERAGE(OFFSET($EN$3,0,0,'Données projet'!$E$15+1,1))-AVERAGE(OFFSET($H$3,0,0,'Données projet'!$E$15+1,1))</f>
        <v>256.19915261735281</v>
      </c>
      <c r="EP120" s="62">
        <f t="shared" si="100"/>
        <v>297.47246687305056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-1.1368683772161603E-13</v>
      </c>
      <c r="O121" s="14">
        <f>N121*VLOOKUP('Données projet'!$B$9,Paramètres!$A$1:$I$89,3,0)*VLOOKUP('Données projet'!$B$9,Paramètres!$A$1:$I$89,5,0)</f>
        <v>-9.7543306765146564E-14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446.27304516866047</v>
      </c>
      <c r="T121" s="62">
        <f t="shared" si="88"/>
        <v>230.82970731138215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-3.4106051316484809E-13</v>
      </c>
      <c r="AJ121" s="14">
        <f>AI121*VLOOKUP('Données projet'!$B$10,Paramètres!$A$1:$I$89,3,0)*VLOOKUP('Données projet'!$B$10,Paramètres!$A$1:$I$89,5,0)</f>
        <v>-2.7134774427395314E-13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427.78067187784063</v>
      </c>
      <c r="AO121" s="62">
        <f t="shared" si="90"/>
        <v>464.22892523825118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1.7053025658242404E-13</v>
      </c>
      <c r="BE121" s="14">
        <f>BD121*VLOOKUP('Données projet'!$B$11,Paramètres!$A$1:$I$89,3,0)*VLOOKUP('Données projet'!$B$11,Paramètres!$A$1:$I$89,5,0)</f>
        <v>1.3301360013429075E-13</v>
      </c>
      <c r="BF121" s="14">
        <f t="shared" si="91"/>
        <v>1.9329766731057041E-12</v>
      </c>
      <c r="BG121" s="22">
        <f t="shared" si="61"/>
        <v>3.5982663925596575E-12</v>
      </c>
      <c r="BH121" s="62">
        <f t="shared" si="62"/>
        <v>293.3333333333369</v>
      </c>
      <c r="BI121" s="62">
        <f ca="1">AVERAGE(OFFSET($BH$3,0,0,'Données projet'!$E$11+1,1))-AVERAGE(OFFSET($H$3,0,0,'Données projet'!$E$11+1,1))</f>
        <v>312.09994042858187</v>
      </c>
      <c r="BJ121" s="62">
        <f t="shared" si="92"/>
        <v>283.48738729114024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-2.2737367544323206E-13</v>
      </c>
      <c r="BZ121" s="14">
        <f>BY121*VLOOKUP('Données projet'!$B$12,Paramètres!$A$1:$I$89,3,0)*VLOOKUP('Données projet'!$B$12,Paramètres!$A$1:$I$89,5,0)</f>
        <v>-1.8089849618263545E-13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370.79299728190904</v>
      </c>
      <c r="CE121" s="62">
        <f t="shared" si="94"/>
        <v>404.95703400805775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2.7564102564102568</v>
      </c>
      <c r="CT121" s="13">
        <f>IF('Données projet'!$A$140&gt;35,CT120+CS121-DB120,IF(A121&lt;'Données projet'!$A$140,$CQ$205^A121,IF(A121='Données projet'!$A$140,'Données projet'!$B$140,CT120+CS121-DB120)))</f>
        <v>245.76923076923063</v>
      </c>
      <c r="CU121" s="18">
        <f>CT121*VLOOKUP('Données projet'!$B$13,Paramètres!$A$1:$I$89,3,0)*VLOOKUP('Données projet'!$B$13,Paramètres!$A$1:$I$89,5,0)</f>
        <v>233.87399999999988</v>
      </c>
      <c r="CV121" s="14">
        <f t="shared" si="95"/>
        <v>57.119514867134178</v>
      </c>
      <c r="CW121" s="22">
        <f t="shared" si="67"/>
        <v>506.81370506025854</v>
      </c>
      <c r="CX121" s="62">
        <f t="shared" si="68"/>
        <v>800.14703839359186</v>
      </c>
      <c r="CY121" s="62">
        <f ca="1">AVERAGE(OFFSET($CX$3,0,0,'Données projet'!$E$13+1,1))-AVERAGE(OFFSET($H$3,0,0,'Données projet'!$E$13+1,1))</f>
        <v>351.34897243264044</v>
      </c>
      <c r="CZ121" s="62">
        <f t="shared" si="96"/>
        <v>268.39685058071603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-5.6843418860808015E-14</v>
      </c>
      <c r="DP121" s="18">
        <f>DO121*VLOOKUP('Données projet'!$B$14,Paramètres!$A$1:$I$89,3,0)*VLOOKUP('Données projet'!$B$14,Paramètres!$A$1:$I$89,5,0)</f>
        <v>-3.813056537183002E-14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290.46086333591074</v>
      </c>
      <c r="DU121" s="62">
        <f t="shared" si="98"/>
        <v>236.8495901994267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-1.1368683772161603E-13</v>
      </c>
      <c r="EK121" s="18">
        <f>EJ121*VLOOKUP('Données projet'!$B$15,Paramètres!$A$1:$I$89,3,0)*VLOOKUP('Données projet'!$B$15,Paramètres!$A$1:$I$89,5,0)</f>
        <v>-9.2222762759774927E-14</v>
      </c>
      <c r="EL121" s="14" t="e">
        <f t="shared" si="99"/>
        <v>#NUM!</v>
      </c>
      <c r="EM121" s="22" t="e">
        <f t="shared" si="73"/>
        <v>#NUM!</v>
      </c>
      <c r="EN121" s="62" t="e">
        <f t="shared" si="74"/>
        <v>#NUM!</v>
      </c>
      <c r="EO121" s="62">
        <f ca="1">AVERAGE(OFFSET($EN$3,0,0,'Données projet'!$E$15+1,1))-AVERAGE(OFFSET($H$3,0,0,'Données projet'!$E$15+1,1))</f>
        <v>256.19915261735281</v>
      </c>
      <c r="EP121" s="62">
        <f t="shared" si="100"/>
        <v>297.47246687305056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-1.1368683772161603E-13</v>
      </c>
      <c r="O122" s="14">
        <f>N122*VLOOKUP('Données projet'!$B$9,Paramètres!$A$1:$I$89,3,0)*VLOOKUP('Données projet'!$B$9,Paramètres!$A$1:$I$89,5,0)</f>
        <v>-9.7543306765146564E-14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446.27304516866047</v>
      </c>
      <c r="T122" s="62">
        <f t="shared" si="88"/>
        <v>230.82970731138215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-3.4106051316484809E-13</v>
      </c>
      <c r="AJ122" s="14">
        <f>AI122*VLOOKUP('Données projet'!$B$10,Paramètres!$A$1:$I$89,3,0)*VLOOKUP('Données projet'!$B$10,Paramètres!$A$1:$I$89,5,0)</f>
        <v>-2.7134774427395314E-13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427.78067187784063</v>
      </c>
      <c r="AO122" s="62">
        <f t="shared" si="90"/>
        <v>464.22892523825118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1.7053025658242404E-13</v>
      </c>
      <c r="BE122" s="14">
        <f>BD122*VLOOKUP('Données projet'!$B$11,Paramètres!$A$1:$I$89,3,0)*VLOOKUP('Données projet'!$B$11,Paramètres!$A$1:$I$89,5,0)</f>
        <v>1.3301360013429075E-13</v>
      </c>
      <c r="BF122" s="14">
        <f t="shared" si="91"/>
        <v>1.9329766731057041E-12</v>
      </c>
      <c r="BG122" s="22">
        <f t="shared" si="61"/>
        <v>3.5982663925596575E-12</v>
      </c>
      <c r="BH122" s="62">
        <f t="shared" si="62"/>
        <v>293.3333333333369</v>
      </c>
      <c r="BI122" s="62">
        <f ca="1">AVERAGE(OFFSET($BH$3,0,0,'Données projet'!$E$11+1,1))-AVERAGE(OFFSET($H$3,0,0,'Données projet'!$E$11+1,1))</f>
        <v>312.09994042858187</v>
      </c>
      <c r="BJ122" s="62">
        <f t="shared" si="92"/>
        <v>283.48738729114024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-2.2737367544323206E-13</v>
      </c>
      <c r="BZ122" s="14">
        <f>BY122*VLOOKUP('Données projet'!$B$12,Paramètres!$A$1:$I$89,3,0)*VLOOKUP('Données projet'!$B$12,Paramètres!$A$1:$I$89,5,0)</f>
        <v>-1.8089849618263545E-13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370.79299728190904</v>
      </c>
      <c r="CE122" s="62">
        <f t="shared" si="94"/>
        <v>404.95703400805775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2.7564102564102568</v>
      </c>
      <c r="CT122" s="13">
        <f>IF('Données projet'!$A$140&gt;35,CT121+CS122-DB121,IF(A122&lt;'Données projet'!$A$140,$CQ$205^A122,IF(A122='Données projet'!$A$140,'Données projet'!$B$140,CT121+CS122-DB121)))</f>
        <v>248.52564102564088</v>
      </c>
      <c r="CU122" s="18">
        <f>CT122*VLOOKUP('Données projet'!$B$13,Paramètres!$A$1:$I$89,3,0)*VLOOKUP('Données projet'!$B$13,Paramètres!$A$1:$I$89,5,0)</f>
        <v>236.49699999999984</v>
      </c>
      <c r="CV122" s="14">
        <f t="shared" si="95"/>
        <v>57.685199222511848</v>
      </c>
      <c r="CW122" s="22">
        <f t="shared" si="67"/>
        <v>512.36733031254118</v>
      </c>
      <c r="CX122" s="62">
        <f t="shared" si="68"/>
        <v>805.70066364587456</v>
      </c>
      <c r="CY122" s="62">
        <f ca="1">AVERAGE(OFFSET($CX$3,0,0,'Données projet'!$E$13+1,1))-AVERAGE(OFFSET($H$3,0,0,'Données projet'!$E$13+1,1))</f>
        <v>351.34897243264044</v>
      </c>
      <c r="CZ122" s="62">
        <f t="shared" si="96"/>
        <v>268.39685058071603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-5.6843418860808015E-14</v>
      </c>
      <c r="DP122" s="18">
        <f>DO122*VLOOKUP('Données projet'!$B$14,Paramètres!$A$1:$I$89,3,0)*VLOOKUP('Données projet'!$B$14,Paramètres!$A$1:$I$89,5,0)</f>
        <v>-3.813056537183002E-14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290.46086333591074</v>
      </c>
      <c r="DU122" s="62">
        <f t="shared" si="98"/>
        <v>236.8495901994267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-1.1368683772161603E-13</v>
      </c>
      <c r="EK122" s="18">
        <f>EJ122*VLOOKUP('Données projet'!$B$15,Paramètres!$A$1:$I$89,3,0)*VLOOKUP('Données projet'!$B$15,Paramètres!$A$1:$I$89,5,0)</f>
        <v>-9.2222762759774927E-14</v>
      </c>
      <c r="EL122" s="14" t="e">
        <f t="shared" si="99"/>
        <v>#NUM!</v>
      </c>
      <c r="EM122" s="22" t="e">
        <f t="shared" si="73"/>
        <v>#NUM!</v>
      </c>
      <c r="EN122" s="62" t="e">
        <f t="shared" si="74"/>
        <v>#NUM!</v>
      </c>
      <c r="EO122" s="62">
        <f ca="1">AVERAGE(OFFSET($EN$3,0,0,'Données projet'!$E$15+1,1))-AVERAGE(OFFSET($H$3,0,0,'Données projet'!$E$15+1,1))</f>
        <v>256.19915261735281</v>
      </c>
      <c r="EP122" s="62">
        <f t="shared" si="100"/>
        <v>297.47246687305056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-1.1368683772161603E-13</v>
      </c>
      <c r="O123" s="14">
        <f>N123*VLOOKUP('Données projet'!$B$9,Paramètres!$A$1:$I$89,3,0)*VLOOKUP('Données projet'!$B$9,Paramètres!$A$1:$I$89,5,0)</f>
        <v>-9.7543306765146564E-14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446.27304516866047</v>
      </c>
      <c r="T123" s="62">
        <f t="shared" si="88"/>
        <v>230.82970731138215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-3.4106051316484809E-13</v>
      </c>
      <c r="AJ123" s="14">
        <f>AI123*VLOOKUP('Données projet'!$B$10,Paramètres!$A$1:$I$89,3,0)*VLOOKUP('Données projet'!$B$10,Paramètres!$A$1:$I$89,5,0)</f>
        <v>-2.7134774427395314E-13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427.78067187784063</v>
      </c>
      <c r="AO123" s="62">
        <f t="shared" si="90"/>
        <v>464.22892523825118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1.7053025658242404E-13</v>
      </c>
      <c r="BE123" s="14">
        <f>BD123*VLOOKUP('Données projet'!$B$11,Paramètres!$A$1:$I$89,3,0)*VLOOKUP('Données projet'!$B$11,Paramètres!$A$1:$I$89,5,0)</f>
        <v>1.3301360013429075E-13</v>
      </c>
      <c r="BF123" s="14">
        <f t="shared" si="91"/>
        <v>1.9329766731057041E-12</v>
      </c>
      <c r="BG123" s="22">
        <f t="shared" si="61"/>
        <v>3.5982663925596575E-12</v>
      </c>
      <c r="BH123" s="62">
        <f t="shared" si="62"/>
        <v>293.3333333333369</v>
      </c>
      <c r="BI123" s="62">
        <f ca="1">AVERAGE(OFFSET($BH$3,0,0,'Données projet'!$E$11+1,1))-AVERAGE(OFFSET($H$3,0,0,'Données projet'!$E$11+1,1))</f>
        <v>312.09994042858187</v>
      </c>
      <c r="BJ123" s="62">
        <f t="shared" si="92"/>
        <v>283.48738729114024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-2.2737367544323206E-13</v>
      </c>
      <c r="BZ123" s="14">
        <f>BY123*VLOOKUP('Données projet'!$B$12,Paramètres!$A$1:$I$89,3,0)*VLOOKUP('Données projet'!$B$12,Paramètres!$A$1:$I$89,5,0)</f>
        <v>-1.8089849618263545E-13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370.79299728190904</v>
      </c>
      <c r="CE123" s="62">
        <f t="shared" si="94"/>
        <v>404.95703400805775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251.28205128205127</v>
      </c>
      <c r="CR123" s="13">
        <f>VLOOKUP(A123,'Données projet'!$A$139:$I$159,9,0)</f>
        <v>2.7564102564102568</v>
      </c>
      <c r="CS123" s="13">
        <f t="array" ref="CS123">INDEX(CR:CR,MIN(IF(ISNUMBER(CR123:CR319),ROW(CR123:CR319),"")))</f>
        <v>2.7564102564102568</v>
      </c>
      <c r="CT123" s="13">
        <f>IF('Données projet'!$A$140&gt;35,CT122+CS123-DB122,IF(A123&lt;'Données projet'!$A$140,$CQ$205^A123,IF(A123='Données projet'!$A$140,'Données projet'!$B$140,CT122+CS123-DB122)))</f>
        <v>251.28205128205113</v>
      </c>
      <c r="CU123" s="18">
        <f>CT123*VLOOKUP('Données projet'!$B$13,Paramètres!$A$1:$I$89,3,0)*VLOOKUP('Données projet'!$B$13,Paramètres!$A$1:$I$89,5,0)</f>
        <v>239.11999999999986</v>
      </c>
      <c r="CV123" s="14">
        <f t="shared" si="95"/>
        <v>58.2501537357874</v>
      </c>
      <c r="CW123" s="22">
        <f t="shared" si="67"/>
        <v>517.91968442316272</v>
      </c>
      <c r="CX123" s="62">
        <f t="shared" si="68"/>
        <v>811.25301775649609</v>
      </c>
      <c r="CY123" s="62">
        <f ca="1">AVERAGE(OFFSET($CX$3,0,0,'Données projet'!$E$13+1,1))-AVERAGE(OFFSET($H$3,0,0,'Données projet'!$E$13+1,1))</f>
        <v>351.34897243264044</v>
      </c>
      <c r="CZ123" s="62">
        <f t="shared" si="96"/>
        <v>268.39685058071603</v>
      </c>
      <c r="DA123" s="16">
        <f>IF(ISNA(VLOOKUP(A123,'Données projet'!$A$139:$I$159,3,0)),0,VLOOKUP(A123,'Données projet'!$A$139:$I$159,3,0))</f>
        <v>11</v>
      </c>
      <c r="DB123" s="16">
        <f>IF(ISNA(VLOOKUP(A123,'Données projet'!$A$139:$I$159,4,0)),0,VLOOKUP(A123,'Données projet'!$A$139:$I$159,4,0))</f>
        <v>251.28205128205127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-5.6843418860808015E-14</v>
      </c>
      <c r="DP123" s="18">
        <f>DO123*VLOOKUP('Données projet'!$B$14,Paramètres!$A$1:$I$89,3,0)*VLOOKUP('Données projet'!$B$14,Paramètres!$A$1:$I$89,5,0)</f>
        <v>-3.813056537183002E-14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290.46086333591074</v>
      </c>
      <c r="DU123" s="62">
        <f t="shared" si="98"/>
        <v>236.8495901994267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-1.1368683772161603E-13</v>
      </c>
      <c r="EK123" s="18">
        <f>EJ123*VLOOKUP('Données projet'!$B$15,Paramètres!$A$1:$I$89,3,0)*VLOOKUP('Données projet'!$B$15,Paramètres!$A$1:$I$89,5,0)</f>
        <v>-9.2222762759774927E-14</v>
      </c>
      <c r="EL123" s="14" t="e">
        <f t="shared" si="99"/>
        <v>#NUM!</v>
      </c>
      <c r="EM123" s="22" t="e">
        <f t="shared" si="73"/>
        <v>#NUM!</v>
      </c>
      <c r="EN123" s="62" t="e">
        <f t="shared" si="74"/>
        <v>#NUM!</v>
      </c>
      <c r="EO123" s="62">
        <f ca="1">AVERAGE(OFFSET($EN$3,0,0,'Données projet'!$E$15+1,1))-AVERAGE(OFFSET($H$3,0,0,'Données projet'!$E$15+1,1))</f>
        <v>256.19915261735281</v>
      </c>
      <c r="EP123" s="62">
        <f t="shared" si="100"/>
        <v>297.47246687305056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-1.1368683772161603E-13</v>
      </c>
      <c r="O124" s="14">
        <f>N124*VLOOKUP('Données projet'!$B$9,Paramètres!$A$1:$I$89,3,0)*VLOOKUP('Données projet'!$B$9,Paramètres!$A$1:$I$89,5,0)</f>
        <v>-9.7543306765146564E-14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446.27304516866047</v>
      </c>
      <c r="T124" s="62">
        <f t="shared" si="88"/>
        <v>230.82970731138215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-3.4106051316484809E-13</v>
      </c>
      <c r="AJ124" s="14">
        <f>AI124*VLOOKUP('Données projet'!$B$10,Paramètres!$A$1:$I$89,3,0)*VLOOKUP('Données projet'!$B$10,Paramètres!$A$1:$I$89,5,0)</f>
        <v>-2.7134774427395314E-13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427.78067187784063</v>
      </c>
      <c r="AO124" s="62">
        <f t="shared" si="90"/>
        <v>464.22892523825118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1.7053025658242404E-13</v>
      </c>
      <c r="BE124" s="14">
        <f>BD124*VLOOKUP('Données projet'!$B$11,Paramètres!$A$1:$I$89,3,0)*VLOOKUP('Données projet'!$B$11,Paramètres!$A$1:$I$89,5,0)</f>
        <v>1.3301360013429075E-13</v>
      </c>
      <c r="BF124" s="14">
        <f t="shared" si="91"/>
        <v>1.9329766731057041E-12</v>
      </c>
      <c r="BG124" s="22">
        <f t="shared" si="61"/>
        <v>3.5982663925596575E-12</v>
      </c>
      <c r="BH124" s="62">
        <f t="shared" si="62"/>
        <v>293.3333333333369</v>
      </c>
      <c r="BI124" s="62">
        <f ca="1">AVERAGE(OFFSET($BH$3,0,0,'Données projet'!$E$11+1,1))-AVERAGE(OFFSET($H$3,0,0,'Données projet'!$E$11+1,1))</f>
        <v>312.09994042858187</v>
      </c>
      <c r="BJ124" s="62">
        <f t="shared" si="92"/>
        <v>283.48738729114024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-2.2737367544323206E-13</v>
      </c>
      <c r="BZ124" s="14">
        <f>BY124*VLOOKUP('Données projet'!$B$12,Paramètres!$A$1:$I$89,3,0)*VLOOKUP('Données projet'!$B$12,Paramètres!$A$1:$I$89,5,0)</f>
        <v>-1.8089849618263545E-13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370.79299728190904</v>
      </c>
      <c r="CE124" s="62">
        <f t="shared" si="94"/>
        <v>404.95703400805775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-1.4210854715202004E-13</v>
      </c>
      <c r="CU124" s="18">
        <f>CT124*VLOOKUP('Données projet'!$B$13,Paramètres!$A$1:$I$89,3,0)*VLOOKUP('Données projet'!$B$13,Paramètres!$A$1:$I$89,5,0)</f>
        <v>-1.3523049346986227E-13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351.34897243264044</v>
      </c>
      <c r="CZ124" s="62">
        <f t="shared" si="96"/>
        <v>268.39685058071603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-5.6843418860808015E-14</v>
      </c>
      <c r="DP124" s="18">
        <f>DO124*VLOOKUP('Données projet'!$B$14,Paramètres!$A$1:$I$89,3,0)*VLOOKUP('Données projet'!$B$14,Paramètres!$A$1:$I$89,5,0)</f>
        <v>-3.813056537183002E-14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290.46086333591074</v>
      </c>
      <c r="DU124" s="62">
        <f t="shared" si="98"/>
        <v>236.8495901994267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-1.1368683772161603E-13</v>
      </c>
      <c r="EK124" s="18">
        <f>EJ124*VLOOKUP('Données projet'!$B$15,Paramètres!$A$1:$I$89,3,0)*VLOOKUP('Données projet'!$B$15,Paramètres!$A$1:$I$89,5,0)</f>
        <v>-9.2222762759774927E-14</v>
      </c>
      <c r="EL124" s="14" t="e">
        <f t="shared" si="99"/>
        <v>#NUM!</v>
      </c>
      <c r="EM124" s="22" t="e">
        <f t="shared" si="73"/>
        <v>#NUM!</v>
      </c>
      <c r="EN124" s="62" t="e">
        <f t="shared" si="74"/>
        <v>#NUM!</v>
      </c>
      <c r="EO124" s="62">
        <f ca="1">AVERAGE(OFFSET($EN$3,0,0,'Données projet'!$E$15+1,1))-AVERAGE(OFFSET($H$3,0,0,'Données projet'!$E$15+1,1))</f>
        <v>256.19915261735281</v>
      </c>
      <c r="EP124" s="62">
        <f t="shared" si="100"/>
        <v>297.47246687305056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-1.1368683772161603E-13</v>
      </c>
      <c r="O125" s="14">
        <f>N125*VLOOKUP('Données projet'!$B$9,Paramètres!$A$1:$I$89,3,0)*VLOOKUP('Données projet'!$B$9,Paramètres!$A$1:$I$89,5,0)</f>
        <v>-9.7543306765146564E-14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446.27304516866047</v>
      </c>
      <c r="T125" s="62">
        <f t="shared" si="88"/>
        <v>230.82970731138215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-3.4106051316484809E-13</v>
      </c>
      <c r="AJ125" s="14">
        <f>AI125*VLOOKUP('Données projet'!$B$10,Paramètres!$A$1:$I$89,3,0)*VLOOKUP('Données projet'!$B$10,Paramètres!$A$1:$I$89,5,0)</f>
        <v>-2.7134774427395314E-13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427.78067187784063</v>
      </c>
      <c r="AO125" s="62">
        <f t="shared" si="90"/>
        <v>464.22892523825118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1.7053025658242404E-13</v>
      </c>
      <c r="BE125" s="14">
        <f>BD125*VLOOKUP('Données projet'!$B$11,Paramètres!$A$1:$I$89,3,0)*VLOOKUP('Données projet'!$B$11,Paramètres!$A$1:$I$89,5,0)</f>
        <v>1.3301360013429075E-13</v>
      </c>
      <c r="BF125" s="14">
        <f t="shared" si="91"/>
        <v>1.9329766731057041E-12</v>
      </c>
      <c r="BG125" s="22">
        <f t="shared" si="61"/>
        <v>3.5982663925596575E-12</v>
      </c>
      <c r="BH125" s="62">
        <f t="shared" si="62"/>
        <v>293.3333333333369</v>
      </c>
      <c r="BI125" s="62">
        <f ca="1">AVERAGE(OFFSET($BH$3,0,0,'Données projet'!$E$11+1,1))-AVERAGE(OFFSET($H$3,0,0,'Données projet'!$E$11+1,1))</f>
        <v>312.09994042858187</v>
      </c>
      <c r="BJ125" s="62">
        <f t="shared" si="92"/>
        <v>283.48738729114024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-2.2737367544323206E-13</v>
      </c>
      <c r="BZ125" s="14">
        <f>BY125*VLOOKUP('Données projet'!$B$12,Paramètres!$A$1:$I$89,3,0)*VLOOKUP('Données projet'!$B$12,Paramètres!$A$1:$I$89,5,0)</f>
        <v>-1.8089849618263545E-13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370.79299728190904</v>
      </c>
      <c r="CE125" s="62">
        <f t="shared" si="94"/>
        <v>404.95703400805775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-1.4210854715202004E-13</v>
      </c>
      <c r="CU125" s="18">
        <f>CT125*VLOOKUP('Données projet'!$B$13,Paramètres!$A$1:$I$89,3,0)*VLOOKUP('Données projet'!$B$13,Paramètres!$A$1:$I$89,5,0)</f>
        <v>-1.3523049346986227E-13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351.34897243264044</v>
      </c>
      <c r="CZ125" s="62">
        <f t="shared" si="96"/>
        <v>268.39685058071603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-5.6843418860808015E-14</v>
      </c>
      <c r="DP125" s="18">
        <f>DO125*VLOOKUP('Données projet'!$B$14,Paramètres!$A$1:$I$89,3,0)*VLOOKUP('Données projet'!$B$14,Paramètres!$A$1:$I$89,5,0)</f>
        <v>-3.813056537183002E-14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290.46086333591074</v>
      </c>
      <c r="DU125" s="62">
        <f t="shared" si="98"/>
        <v>236.8495901994267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-1.1368683772161603E-13</v>
      </c>
      <c r="EK125" s="18">
        <f>EJ125*VLOOKUP('Données projet'!$B$15,Paramètres!$A$1:$I$89,3,0)*VLOOKUP('Données projet'!$B$15,Paramètres!$A$1:$I$89,5,0)</f>
        <v>-9.2222762759774927E-14</v>
      </c>
      <c r="EL125" s="14" t="e">
        <f t="shared" si="99"/>
        <v>#NUM!</v>
      </c>
      <c r="EM125" s="22" t="e">
        <f t="shared" si="73"/>
        <v>#NUM!</v>
      </c>
      <c r="EN125" s="62" t="e">
        <f t="shared" si="74"/>
        <v>#NUM!</v>
      </c>
      <c r="EO125" s="62">
        <f ca="1">AVERAGE(OFFSET($EN$3,0,0,'Données projet'!$E$15+1,1))-AVERAGE(OFFSET($H$3,0,0,'Données projet'!$E$15+1,1))</f>
        <v>256.19915261735281</v>
      </c>
      <c r="EP125" s="62">
        <f t="shared" si="100"/>
        <v>297.47246687305056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-1.1368683772161603E-13</v>
      </c>
      <c r="O126" s="14">
        <f>N126*VLOOKUP('Données projet'!$B$9,Paramètres!$A$1:$I$89,3,0)*VLOOKUP('Données projet'!$B$9,Paramètres!$A$1:$I$89,5,0)</f>
        <v>-9.7543306765146564E-14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446.27304516866047</v>
      </c>
      <c r="T126" s="62">
        <f t="shared" si="88"/>
        <v>230.82970731138215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-3.4106051316484809E-13</v>
      </c>
      <c r="AJ126" s="14">
        <f>AI126*VLOOKUP('Données projet'!$B$10,Paramètres!$A$1:$I$89,3,0)*VLOOKUP('Données projet'!$B$10,Paramètres!$A$1:$I$89,5,0)</f>
        <v>-2.7134774427395314E-13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427.78067187784063</v>
      </c>
      <c r="AO126" s="62">
        <f t="shared" si="90"/>
        <v>464.22892523825118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1.7053025658242404E-13</v>
      </c>
      <c r="BE126" s="14">
        <f>BD126*VLOOKUP('Données projet'!$B$11,Paramètres!$A$1:$I$89,3,0)*VLOOKUP('Données projet'!$B$11,Paramètres!$A$1:$I$89,5,0)</f>
        <v>1.3301360013429075E-13</v>
      </c>
      <c r="BF126" s="14">
        <f t="shared" si="91"/>
        <v>1.9329766731057041E-12</v>
      </c>
      <c r="BG126" s="22">
        <f t="shared" si="61"/>
        <v>3.5982663925596575E-12</v>
      </c>
      <c r="BH126" s="62">
        <f t="shared" si="62"/>
        <v>293.3333333333369</v>
      </c>
      <c r="BI126" s="62">
        <f ca="1">AVERAGE(OFFSET($BH$3,0,0,'Données projet'!$E$11+1,1))-AVERAGE(OFFSET($H$3,0,0,'Données projet'!$E$11+1,1))</f>
        <v>312.09994042858187</v>
      </c>
      <c r="BJ126" s="62">
        <f t="shared" si="92"/>
        <v>283.48738729114024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-2.2737367544323206E-13</v>
      </c>
      <c r="BZ126" s="14">
        <f>BY126*VLOOKUP('Données projet'!$B$12,Paramètres!$A$1:$I$89,3,0)*VLOOKUP('Données projet'!$B$12,Paramètres!$A$1:$I$89,5,0)</f>
        <v>-1.8089849618263545E-13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370.79299728190904</v>
      </c>
      <c r="CE126" s="62">
        <f t="shared" si="94"/>
        <v>404.95703400805775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-1.4210854715202004E-13</v>
      </c>
      <c r="CU126" s="18">
        <f>CT126*VLOOKUP('Données projet'!$B$13,Paramètres!$A$1:$I$89,3,0)*VLOOKUP('Données projet'!$B$13,Paramètres!$A$1:$I$89,5,0)</f>
        <v>-1.3523049346986227E-13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351.34897243264044</v>
      </c>
      <c r="CZ126" s="62">
        <f t="shared" si="96"/>
        <v>268.39685058071603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-5.6843418860808015E-14</v>
      </c>
      <c r="DP126" s="18">
        <f>DO126*VLOOKUP('Données projet'!$B$14,Paramètres!$A$1:$I$89,3,0)*VLOOKUP('Données projet'!$B$14,Paramètres!$A$1:$I$89,5,0)</f>
        <v>-3.813056537183002E-14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290.46086333591074</v>
      </c>
      <c r="DU126" s="62">
        <f t="shared" si="98"/>
        <v>236.8495901994267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-1.1368683772161603E-13</v>
      </c>
      <c r="EK126" s="18">
        <f>EJ126*VLOOKUP('Données projet'!$B$15,Paramètres!$A$1:$I$89,3,0)*VLOOKUP('Données projet'!$B$15,Paramètres!$A$1:$I$89,5,0)</f>
        <v>-9.2222762759774927E-14</v>
      </c>
      <c r="EL126" s="14" t="e">
        <f t="shared" si="99"/>
        <v>#NUM!</v>
      </c>
      <c r="EM126" s="22" t="e">
        <f t="shared" si="73"/>
        <v>#NUM!</v>
      </c>
      <c r="EN126" s="62" t="e">
        <f t="shared" si="74"/>
        <v>#NUM!</v>
      </c>
      <c r="EO126" s="62">
        <f ca="1">AVERAGE(OFFSET($EN$3,0,0,'Données projet'!$E$15+1,1))-AVERAGE(OFFSET($H$3,0,0,'Données projet'!$E$15+1,1))</f>
        <v>256.19915261735281</v>
      </c>
      <c r="EP126" s="62">
        <f t="shared" si="100"/>
        <v>297.47246687305056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-1.1368683772161603E-13</v>
      </c>
      <c r="O127" s="14">
        <f>N127*VLOOKUP('Données projet'!$B$9,Paramètres!$A$1:$I$89,3,0)*VLOOKUP('Données projet'!$B$9,Paramètres!$A$1:$I$89,5,0)</f>
        <v>-9.7543306765146564E-14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446.27304516866047</v>
      </c>
      <c r="T127" s="62">
        <f t="shared" si="88"/>
        <v>230.82970731138215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-3.4106051316484809E-13</v>
      </c>
      <c r="AJ127" s="14">
        <f>AI127*VLOOKUP('Données projet'!$B$10,Paramètres!$A$1:$I$89,3,0)*VLOOKUP('Données projet'!$B$10,Paramètres!$A$1:$I$89,5,0)</f>
        <v>-2.7134774427395314E-13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427.78067187784063</v>
      </c>
      <c r="AO127" s="62">
        <f t="shared" si="90"/>
        <v>464.22892523825118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1.7053025658242404E-13</v>
      </c>
      <c r="BE127" s="14">
        <f>BD127*VLOOKUP('Données projet'!$B$11,Paramètres!$A$1:$I$89,3,0)*VLOOKUP('Données projet'!$B$11,Paramètres!$A$1:$I$89,5,0)</f>
        <v>1.3301360013429075E-13</v>
      </c>
      <c r="BF127" s="14">
        <f t="shared" si="91"/>
        <v>1.9329766731057041E-12</v>
      </c>
      <c r="BG127" s="22">
        <f t="shared" si="61"/>
        <v>3.5982663925596575E-12</v>
      </c>
      <c r="BH127" s="62">
        <f t="shared" si="62"/>
        <v>293.3333333333369</v>
      </c>
      <c r="BI127" s="62">
        <f ca="1">AVERAGE(OFFSET($BH$3,0,0,'Données projet'!$E$11+1,1))-AVERAGE(OFFSET($H$3,0,0,'Données projet'!$E$11+1,1))</f>
        <v>312.09994042858187</v>
      </c>
      <c r="BJ127" s="62">
        <f t="shared" si="92"/>
        <v>283.48738729114024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-2.2737367544323206E-13</v>
      </c>
      <c r="BZ127" s="14">
        <f>BY127*VLOOKUP('Données projet'!$B$12,Paramètres!$A$1:$I$89,3,0)*VLOOKUP('Données projet'!$B$12,Paramètres!$A$1:$I$89,5,0)</f>
        <v>-1.8089849618263545E-13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370.79299728190904</v>
      </c>
      <c r="CE127" s="62">
        <f t="shared" si="94"/>
        <v>404.95703400805775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-1.4210854715202004E-13</v>
      </c>
      <c r="CU127" s="18">
        <f>CT127*VLOOKUP('Données projet'!$B$13,Paramètres!$A$1:$I$89,3,0)*VLOOKUP('Données projet'!$B$13,Paramètres!$A$1:$I$89,5,0)</f>
        <v>-1.3523049346986227E-13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351.34897243264044</v>
      </c>
      <c r="CZ127" s="62">
        <f t="shared" si="96"/>
        <v>268.39685058071603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-5.6843418860808015E-14</v>
      </c>
      <c r="DP127" s="18">
        <f>DO127*VLOOKUP('Données projet'!$B$14,Paramètres!$A$1:$I$89,3,0)*VLOOKUP('Données projet'!$B$14,Paramètres!$A$1:$I$89,5,0)</f>
        <v>-3.813056537183002E-14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290.46086333591074</v>
      </c>
      <c r="DU127" s="62">
        <f t="shared" si="98"/>
        <v>236.8495901994267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-1.1368683772161603E-13</v>
      </c>
      <c r="EK127" s="18">
        <f>EJ127*VLOOKUP('Données projet'!$B$15,Paramètres!$A$1:$I$89,3,0)*VLOOKUP('Données projet'!$B$15,Paramètres!$A$1:$I$89,5,0)</f>
        <v>-9.2222762759774927E-14</v>
      </c>
      <c r="EL127" s="14" t="e">
        <f t="shared" si="99"/>
        <v>#NUM!</v>
      </c>
      <c r="EM127" s="22" t="e">
        <f t="shared" si="73"/>
        <v>#NUM!</v>
      </c>
      <c r="EN127" s="62" t="e">
        <f t="shared" si="74"/>
        <v>#NUM!</v>
      </c>
      <c r="EO127" s="62">
        <f ca="1">AVERAGE(OFFSET($EN$3,0,0,'Données projet'!$E$15+1,1))-AVERAGE(OFFSET($H$3,0,0,'Données projet'!$E$15+1,1))</f>
        <v>256.19915261735281</v>
      </c>
      <c r="EP127" s="62">
        <f t="shared" si="100"/>
        <v>297.47246687305056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-1.1368683772161603E-13</v>
      </c>
      <c r="O128" s="14">
        <f>N128*VLOOKUP('Données projet'!$B$9,Paramètres!$A$1:$I$89,3,0)*VLOOKUP('Données projet'!$B$9,Paramètres!$A$1:$I$89,5,0)</f>
        <v>-9.7543306765146564E-14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446.27304516866047</v>
      </c>
      <c r="T128" s="62">
        <f t="shared" si="88"/>
        <v>230.82970731138215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-3.4106051316484809E-13</v>
      </c>
      <c r="AJ128" s="14">
        <f>AI128*VLOOKUP('Données projet'!$B$10,Paramètres!$A$1:$I$89,3,0)*VLOOKUP('Données projet'!$B$10,Paramètres!$A$1:$I$89,5,0)</f>
        <v>-2.7134774427395314E-13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427.78067187784063</v>
      </c>
      <c r="AO128" s="62">
        <f t="shared" si="90"/>
        <v>464.22892523825118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1.7053025658242404E-13</v>
      </c>
      <c r="BE128" s="14">
        <f>BD128*VLOOKUP('Données projet'!$B$11,Paramètres!$A$1:$I$89,3,0)*VLOOKUP('Données projet'!$B$11,Paramètres!$A$1:$I$89,5,0)</f>
        <v>1.3301360013429075E-13</v>
      </c>
      <c r="BF128" s="14">
        <f t="shared" si="91"/>
        <v>1.9329766731057041E-12</v>
      </c>
      <c r="BG128" s="22">
        <f t="shared" si="61"/>
        <v>3.5982663925596575E-12</v>
      </c>
      <c r="BH128" s="62">
        <f t="shared" si="62"/>
        <v>293.3333333333369</v>
      </c>
      <c r="BI128" s="62">
        <f ca="1">AVERAGE(OFFSET($BH$3,0,0,'Données projet'!$E$11+1,1))-AVERAGE(OFFSET($H$3,0,0,'Données projet'!$E$11+1,1))</f>
        <v>312.09994042858187</v>
      </c>
      <c r="BJ128" s="62">
        <f t="shared" si="92"/>
        <v>283.48738729114024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-2.2737367544323206E-13</v>
      </c>
      <c r="BZ128" s="14">
        <f>BY128*VLOOKUP('Données projet'!$B$12,Paramètres!$A$1:$I$89,3,0)*VLOOKUP('Données projet'!$B$12,Paramètres!$A$1:$I$89,5,0)</f>
        <v>-1.8089849618263545E-13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370.79299728190904</v>
      </c>
      <c r="CE128" s="62">
        <f t="shared" si="94"/>
        <v>404.95703400805775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-1.4210854715202004E-13</v>
      </c>
      <c r="CU128" s="18">
        <f>CT128*VLOOKUP('Données projet'!$B$13,Paramètres!$A$1:$I$89,3,0)*VLOOKUP('Données projet'!$B$13,Paramètres!$A$1:$I$89,5,0)</f>
        <v>-1.3523049346986227E-13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351.34897243264044</v>
      </c>
      <c r="CZ128" s="62">
        <f t="shared" si="96"/>
        <v>268.39685058071603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-5.6843418860808015E-14</v>
      </c>
      <c r="DP128" s="18">
        <f>DO128*VLOOKUP('Données projet'!$B$14,Paramètres!$A$1:$I$89,3,0)*VLOOKUP('Données projet'!$B$14,Paramètres!$A$1:$I$89,5,0)</f>
        <v>-3.813056537183002E-14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290.46086333591074</v>
      </c>
      <c r="DU128" s="62">
        <f t="shared" si="98"/>
        <v>236.8495901994267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-1.1368683772161603E-13</v>
      </c>
      <c r="EK128" s="18">
        <f>EJ128*VLOOKUP('Données projet'!$B$15,Paramètres!$A$1:$I$89,3,0)*VLOOKUP('Données projet'!$B$15,Paramètres!$A$1:$I$89,5,0)</f>
        <v>-9.2222762759774927E-14</v>
      </c>
      <c r="EL128" s="14" t="e">
        <f t="shared" si="99"/>
        <v>#NUM!</v>
      </c>
      <c r="EM128" s="22" t="e">
        <f t="shared" si="73"/>
        <v>#NUM!</v>
      </c>
      <c r="EN128" s="62" t="e">
        <f t="shared" si="74"/>
        <v>#NUM!</v>
      </c>
      <c r="EO128" s="62">
        <f ca="1">AVERAGE(OFFSET($EN$3,0,0,'Données projet'!$E$15+1,1))-AVERAGE(OFFSET($H$3,0,0,'Données projet'!$E$15+1,1))</f>
        <v>256.19915261735281</v>
      </c>
      <c r="EP128" s="62">
        <f t="shared" si="100"/>
        <v>297.47246687305056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-1.1368683772161603E-13</v>
      </c>
      <c r="O129" s="14">
        <f>N129*VLOOKUP('Données projet'!$B$9,Paramètres!$A$1:$I$89,3,0)*VLOOKUP('Données projet'!$B$9,Paramètres!$A$1:$I$89,5,0)</f>
        <v>-9.7543306765146564E-14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446.27304516866047</v>
      </c>
      <c r="T129" s="62">
        <f t="shared" si="88"/>
        <v>230.82970731138215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-3.4106051316484809E-13</v>
      </c>
      <c r="AJ129" s="14">
        <f>AI129*VLOOKUP('Données projet'!$B$10,Paramètres!$A$1:$I$89,3,0)*VLOOKUP('Données projet'!$B$10,Paramètres!$A$1:$I$89,5,0)</f>
        <v>-2.7134774427395314E-13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427.78067187784063</v>
      </c>
      <c r="AO129" s="62">
        <f t="shared" si="90"/>
        <v>464.22892523825118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1.7053025658242404E-13</v>
      </c>
      <c r="BE129" s="14">
        <f>BD129*VLOOKUP('Données projet'!$B$11,Paramètres!$A$1:$I$89,3,0)*VLOOKUP('Données projet'!$B$11,Paramètres!$A$1:$I$89,5,0)</f>
        <v>1.3301360013429075E-13</v>
      </c>
      <c r="BF129" s="14">
        <f t="shared" si="91"/>
        <v>1.9329766731057041E-12</v>
      </c>
      <c r="BG129" s="22">
        <f t="shared" si="61"/>
        <v>3.5982663925596575E-12</v>
      </c>
      <c r="BH129" s="62">
        <f t="shared" si="62"/>
        <v>293.3333333333369</v>
      </c>
      <c r="BI129" s="62">
        <f ca="1">AVERAGE(OFFSET($BH$3,0,0,'Données projet'!$E$11+1,1))-AVERAGE(OFFSET($H$3,0,0,'Données projet'!$E$11+1,1))</f>
        <v>312.09994042858187</v>
      </c>
      <c r="BJ129" s="62">
        <f t="shared" si="92"/>
        <v>283.48738729114024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-2.2737367544323206E-13</v>
      </c>
      <c r="BZ129" s="14">
        <f>BY129*VLOOKUP('Données projet'!$B$12,Paramètres!$A$1:$I$89,3,0)*VLOOKUP('Données projet'!$B$12,Paramètres!$A$1:$I$89,5,0)</f>
        <v>-1.8089849618263545E-13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370.79299728190904</v>
      </c>
      <c r="CE129" s="62">
        <f t="shared" si="94"/>
        <v>404.95703400805775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-1.4210854715202004E-13</v>
      </c>
      <c r="CU129" s="18">
        <f>CT129*VLOOKUP('Données projet'!$B$13,Paramètres!$A$1:$I$89,3,0)*VLOOKUP('Données projet'!$B$13,Paramètres!$A$1:$I$89,5,0)</f>
        <v>-1.3523049346986227E-13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351.34897243264044</v>
      </c>
      <c r="CZ129" s="62">
        <f t="shared" si="96"/>
        <v>268.39685058071603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-5.6843418860808015E-14</v>
      </c>
      <c r="DP129" s="18">
        <f>DO129*VLOOKUP('Données projet'!$B$14,Paramètres!$A$1:$I$89,3,0)*VLOOKUP('Données projet'!$B$14,Paramètres!$A$1:$I$89,5,0)</f>
        <v>-3.813056537183002E-14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290.46086333591074</v>
      </c>
      <c r="DU129" s="62">
        <f t="shared" si="98"/>
        <v>236.8495901994267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-1.1368683772161603E-13</v>
      </c>
      <c r="EK129" s="18">
        <f>EJ129*VLOOKUP('Données projet'!$B$15,Paramètres!$A$1:$I$89,3,0)*VLOOKUP('Données projet'!$B$15,Paramètres!$A$1:$I$89,5,0)</f>
        <v>-9.2222762759774927E-14</v>
      </c>
      <c r="EL129" s="14" t="e">
        <f t="shared" si="99"/>
        <v>#NUM!</v>
      </c>
      <c r="EM129" s="22" t="e">
        <f t="shared" si="73"/>
        <v>#NUM!</v>
      </c>
      <c r="EN129" s="62" t="e">
        <f t="shared" si="74"/>
        <v>#NUM!</v>
      </c>
      <c r="EO129" s="62">
        <f ca="1">AVERAGE(OFFSET($EN$3,0,0,'Données projet'!$E$15+1,1))-AVERAGE(OFFSET($H$3,0,0,'Données projet'!$E$15+1,1))</f>
        <v>256.19915261735281</v>
      </c>
      <c r="EP129" s="62">
        <f t="shared" si="100"/>
        <v>297.47246687305056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-1.1368683772161603E-13</v>
      </c>
      <c r="O130" s="14">
        <f>N130*VLOOKUP('Données projet'!$B$9,Paramètres!$A$1:$I$89,3,0)*VLOOKUP('Données projet'!$B$9,Paramètres!$A$1:$I$89,5,0)</f>
        <v>-9.7543306765146564E-14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446.27304516866047</v>
      </c>
      <c r="T130" s="62">
        <f t="shared" si="88"/>
        <v>230.82970731138215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-3.4106051316484809E-13</v>
      </c>
      <c r="AJ130" s="14">
        <f>AI130*VLOOKUP('Données projet'!$B$10,Paramètres!$A$1:$I$89,3,0)*VLOOKUP('Données projet'!$B$10,Paramètres!$A$1:$I$89,5,0)</f>
        <v>-2.7134774427395314E-13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427.78067187784063</v>
      </c>
      <c r="AO130" s="62">
        <f t="shared" si="90"/>
        <v>464.22892523825118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1.7053025658242404E-13</v>
      </c>
      <c r="BE130" s="14">
        <f>BD130*VLOOKUP('Données projet'!$B$11,Paramètres!$A$1:$I$89,3,0)*VLOOKUP('Données projet'!$B$11,Paramètres!$A$1:$I$89,5,0)</f>
        <v>1.3301360013429075E-13</v>
      </c>
      <c r="BF130" s="14">
        <f t="shared" si="91"/>
        <v>1.9329766731057041E-12</v>
      </c>
      <c r="BG130" s="22">
        <f t="shared" si="61"/>
        <v>3.5982663925596575E-12</v>
      </c>
      <c r="BH130" s="62">
        <f t="shared" si="62"/>
        <v>293.3333333333369</v>
      </c>
      <c r="BI130" s="62">
        <f ca="1">AVERAGE(OFFSET($BH$3,0,0,'Données projet'!$E$11+1,1))-AVERAGE(OFFSET($H$3,0,0,'Données projet'!$E$11+1,1))</f>
        <v>312.09994042858187</v>
      </c>
      <c r="BJ130" s="62">
        <f t="shared" si="92"/>
        <v>283.48738729114024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-2.2737367544323206E-13</v>
      </c>
      <c r="BZ130" s="14">
        <f>BY130*VLOOKUP('Données projet'!$B$12,Paramètres!$A$1:$I$89,3,0)*VLOOKUP('Données projet'!$B$12,Paramètres!$A$1:$I$89,5,0)</f>
        <v>-1.8089849618263545E-13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370.79299728190904</v>
      </c>
      <c r="CE130" s="62">
        <f t="shared" si="94"/>
        <v>404.95703400805775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-1.4210854715202004E-13</v>
      </c>
      <c r="CU130" s="18">
        <f>CT130*VLOOKUP('Données projet'!$B$13,Paramètres!$A$1:$I$89,3,0)*VLOOKUP('Données projet'!$B$13,Paramètres!$A$1:$I$89,5,0)</f>
        <v>-1.3523049346986227E-13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351.34897243264044</v>
      </c>
      <c r="CZ130" s="62">
        <f t="shared" si="96"/>
        <v>268.39685058071603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-5.6843418860808015E-14</v>
      </c>
      <c r="DP130" s="18">
        <f>DO130*VLOOKUP('Données projet'!$B$14,Paramètres!$A$1:$I$89,3,0)*VLOOKUP('Données projet'!$B$14,Paramètres!$A$1:$I$89,5,0)</f>
        <v>-3.813056537183002E-14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290.46086333591074</v>
      </c>
      <c r="DU130" s="62">
        <f t="shared" si="98"/>
        <v>236.8495901994267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-1.1368683772161603E-13</v>
      </c>
      <c r="EK130" s="18">
        <f>EJ130*VLOOKUP('Données projet'!$B$15,Paramètres!$A$1:$I$89,3,0)*VLOOKUP('Données projet'!$B$15,Paramètres!$A$1:$I$89,5,0)</f>
        <v>-9.2222762759774927E-14</v>
      </c>
      <c r="EL130" s="14" t="e">
        <f t="shared" si="99"/>
        <v>#NUM!</v>
      </c>
      <c r="EM130" s="22" t="e">
        <f t="shared" si="73"/>
        <v>#NUM!</v>
      </c>
      <c r="EN130" s="62" t="e">
        <f t="shared" si="74"/>
        <v>#NUM!</v>
      </c>
      <c r="EO130" s="62">
        <f ca="1">AVERAGE(OFFSET($EN$3,0,0,'Données projet'!$E$15+1,1))-AVERAGE(OFFSET($H$3,0,0,'Données projet'!$E$15+1,1))</f>
        <v>256.19915261735281</v>
      </c>
      <c r="EP130" s="62">
        <f t="shared" si="100"/>
        <v>297.47246687305056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-1.1368683772161603E-13</v>
      </c>
      <c r="O131" s="14">
        <f>N131*VLOOKUP('Données projet'!$B$9,Paramètres!$A$1:$I$89,3,0)*VLOOKUP('Données projet'!$B$9,Paramètres!$A$1:$I$89,5,0)</f>
        <v>-9.7543306765146564E-14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446.27304516866047</v>
      </c>
      <c r="T131" s="62">
        <f t="shared" si="88"/>
        <v>230.82970731138215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-3.4106051316484809E-13</v>
      </c>
      <c r="AJ131" s="14">
        <f>AI131*VLOOKUP('Données projet'!$B$10,Paramètres!$A$1:$I$89,3,0)*VLOOKUP('Données projet'!$B$10,Paramètres!$A$1:$I$89,5,0)</f>
        <v>-2.7134774427395314E-13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427.78067187784063</v>
      </c>
      <c r="AO131" s="62">
        <f t="shared" si="90"/>
        <v>464.22892523825118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1.7053025658242404E-13</v>
      </c>
      <c r="BE131" s="14">
        <f>BD131*VLOOKUP('Données projet'!$B$11,Paramètres!$A$1:$I$89,3,0)*VLOOKUP('Données projet'!$B$11,Paramètres!$A$1:$I$89,5,0)</f>
        <v>1.3301360013429075E-13</v>
      </c>
      <c r="BF131" s="14">
        <f t="shared" si="91"/>
        <v>1.9329766731057041E-12</v>
      </c>
      <c r="BG131" s="22">
        <f t="shared" si="61"/>
        <v>3.5982663925596575E-12</v>
      </c>
      <c r="BH131" s="62">
        <f t="shared" si="62"/>
        <v>293.3333333333369</v>
      </c>
      <c r="BI131" s="62">
        <f ca="1">AVERAGE(OFFSET($BH$3,0,0,'Données projet'!$E$11+1,1))-AVERAGE(OFFSET($H$3,0,0,'Données projet'!$E$11+1,1))</f>
        <v>312.09994042858187</v>
      </c>
      <c r="BJ131" s="62">
        <f t="shared" si="92"/>
        <v>283.48738729114024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-2.2737367544323206E-13</v>
      </c>
      <c r="BZ131" s="14">
        <f>BY131*VLOOKUP('Données projet'!$B$12,Paramètres!$A$1:$I$89,3,0)*VLOOKUP('Données projet'!$B$12,Paramètres!$A$1:$I$89,5,0)</f>
        <v>-1.8089849618263545E-13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370.79299728190904</v>
      </c>
      <c r="CE131" s="62">
        <f t="shared" si="94"/>
        <v>404.95703400805775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-1.4210854715202004E-13</v>
      </c>
      <c r="CU131" s="18">
        <f>CT131*VLOOKUP('Données projet'!$B$13,Paramètres!$A$1:$I$89,3,0)*VLOOKUP('Données projet'!$B$13,Paramètres!$A$1:$I$89,5,0)</f>
        <v>-1.3523049346986227E-13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351.34897243264044</v>
      </c>
      <c r="CZ131" s="62">
        <f t="shared" si="96"/>
        <v>268.39685058071603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-5.6843418860808015E-14</v>
      </c>
      <c r="DP131" s="18">
        <f>DO131*VLOOKUP('Données projet'!$B$14,Paramètres!$A$1:$I$89,3,0)*VLOOKUP('Données projet'!$B$14,Paramètres!$A$1:$I$89,5,0)</f>
        <v>-3.813056537183002E-14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290.46086333591074</v>
      </c>
      <c r="DU131" s="62">
        <f t="shared" si="98"/>
        <v>236.8495901994267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-1.1368683772161603E-13</v>
      </c>
      <c r="EK131" s="18">
        <f>EJ131*VLOOKUP('Données projet'!$B$15,Paramètres!$A$1:$I$89,3,0)*VLOOKUP('Données projet'!$B$15,Paramètres!$A$1:$I$89,5,0)</f>
        <v>-9.2222762759774927E-14</v>
      </c>
      <c r="EL131" s="14" t="e">
        <f t="shared" si="99"/>
        <v>#NUM!</v>
      </c>
      <c r="EM131" s="22" t="e">
        <f t="shared" si="73"/>
        <v>#NUM!</v>
      </c>
      <c r="EN131" s="62" t="e">
        <f t="shared" si="74"/>
        <v>#NUM!</v>
      </c>
      <c r="EO131" s="62">
        <f ca="1">AVERAGE(OFFSET($EN$3,0,0,'Données projet'!$E$15+1,1))-AVERAGE(OFFSET($H$3,0,0,'Données projet'!$E$15+1,1))</f>
        <v>256.19915261735281</v>
      </c>
      <c r="EP131" s="62">
        <f t="shared" si="100"/>
        <v>297.47246687305056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-1.1368683772161603E-13</v>
      </c>
      <c r="O132" s="14">
        <f>N132*VLOOKUP('Données projet'!$B$9,Paramètres!$A$1:$I$89,3,0)*VLOOKUP('Données projet'!$B$9,Paramètres!$A$1:$I$89,5,0)</f>
        <v>-9.7543306765146564E-14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446.27304516866047</v>
      </c>
      <c r="T132" s="62">
        <f t="shared" si="88"/>
        <v>230.82970731138215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-3.4106051316484809E-13</v>
      </c>
      <c r="AJ132" s="14">
        <f>AI132*VLOOKUP('Données projet'!$B$10,Paramètres!$A$1:$I$89,3,0)*VLOOKUP('Données projet'!$B$10,Paramètres!$A$1:$I$89,5,0)</f>
        <v>-2.7134774427395314E-13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427.78067187784063</v>
      </c>
      <c r="AO132" s="62">
        <f t="shared" si="90"/>
        <v>464.22892523825118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1.7053025658242404E-13</v>
      </c>
      <c r="BE132" s="14">
        <f>BD132*VLOOKUP('Données projet'!$B$11,Paramètres!$A$1:$I$89,3,0)*VLOOKUP('Données projet'!$B$11,Paramètres!$A$1:$I$89,5,0)</f>
        <v>1.3301360013429075E-13</v>
      </c>
      <c r="BF132" s="14">
        <f t="shared" si="91"/>
        <v>1.9329766731057041E-12</v>
      </c>
      <c r="BG132" s="22">
        <f t="shared" ref="BG132:BG153" si="115">(BE132+BF132)*0.475*44/12</f>
        <v>3.5982663925596575E-12</v>
      </c>
      <c r="BH132" s="62">
        <f t="shared" ref="BH132:BH195" si="116">BG132+(AY132+AZ132)*44/12</f>
        <v>293.3333333333369</v>
      </c>
      <c r="BI132" s="62">
        <f ca="1">AVERAGE(OFFSET($BH$3,0,0,'Données projet'!$E$11+1,1))-AVERAGE(OFFSET($H$3,0,0,'Données projet'!$E$11+1,1))</f>
        <v>312.09994042858187</v>
      </c>
      <c r="BJ132" s="62">
        <f t="shared" si="92"/>
        <v>283.48738729114024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-2.2737367544323206E-13</v>
      </c>
      <c r="BZ132" s="14">
        <f>BY132*VLOOKUP('Données projet'!$B$12,Paramètres!$A$1:$I$89,3,0)*VLOOKUP('Données projet'!$B$12,Paramètres!$A$1:$I$89,5,0)</f>
        <v>-1.8089849618263545E-13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370.79299728190904</v>
      </c>
      <c r="CE132" s="62">
        <f t="shared" si="94"/>
        <v>404.95703400805775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-1.4210854715202004E-13</v>
      </c>
      <c r="CU132" s="18">
        <f>CT132*VLOOKUP('Données projet'!$B$13,Paramètres!$A$1:$I$89,3,0)*VLOOKUP('Données projet'!$B$13,Paramètres!$A$1:$I$89,5,0)</f>
        <v>-1.3523049346986227E-13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351.34897243264044</v>
      </c>
      <c r="CZ132" s="62">
        <f t="shared" si="96"/>
        <v>268.39685058071603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-5.6843418860808015E-14</v>
      </c>
      <c r="DP132" s="18">
        <f>DO132*VLOOKUP('Données projet'!$B$14,Paramètres!$A$1:$I$89,3,0)*VLOOKUP('Données projet'!$B$14,Paramètres!$A$1:$I$89,5,0)</f>
        <v>-3.813056537183002E-14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290.46086333591074</v>
      </c>
      <c r="DU132" s="62">
        <f t="shared" si="98"/>
        <v>236.8495901994267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-1.1368683772161603E-13</v>
      </c>
      <c r="EK132" s="18">
        <f>EJ132*VLOOKUP('Données projet'!$B$15,Paramètres!$A$1:$I$89,3,0)*VLOOKUP('Données projet'!$B$15,Paramètres!$A$1:$I$89,5,0)</f>
        <v>-9.2222762759774927E-14</v>
      </c>
      <c r="EL132" s="14" t="e">
        <f t="shared" si="99"/>
        <v>#NUM!</v>
      </c>
      <c r="EM132" s="22" t="e">
        <f t="shared" ref="EM132:EM153" si="127">(EK132+EL132)*0.475*44/12</f>
        <v>#NUM!</v>
      </c>
      <c r="EN132" s="62" t="e">
        <f t="shared" ref="EN132:EN195" si="128">EM132+(EE132+EF132)*44/12</f>
        <v>#NUM!</v>
      </c>
      <c r="EO132" s="62">
        <f ca="1">AVERAGE(OFFSET($EN$3,0,0,'Données projet'!$E$15+1,1))-AVERAGE(OFFSET($H$3,0,0,'Données projet'!$E$15+1,1))</f>
        <v>256.19915261735281</v>
      </c>
      <c r="EP132" s="62">
        <f t="shared" si="100"/>
        <v>297.47246687305056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-1.1368683772161603E-13</v>
      </c>
      <c r="O133" s="14">
        <f>N133*VLOOKUP('Données projet'!$B$9,Paramètres!$A$1:$I$89,3,0)*VLOOKUP('Données projet'!$B$9,Paramètres!$A$1:$I$89,5,0)</f>
        <v>-9.7543306765146564E-14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446.27304516866047</v>
      </c>
      <c r="T133" s="62">
        <f t="shared" ref="T133:T196" si="142">$T$3</f>
        <v>230.82970731138215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-3.4106051316484809E-13</v>
      </c>
      <c r="AJ133" s="14">
        <f>AI133*VLOOKUP('Données projet'!$B$10,Paramètres!$A$1:$I$89,3,0)*VLOOKUP('Données projet'!$B$10,Paramètres!$A$1:$I$89,5,0)</f>
        <v>-2.7134774427395314E-13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427.78067187784063</v>
      </c>
      <c r="AO133" s="62">
        <f t="shared" ref="AO133:AO196" si="144">$AO$3</f>
        <v>464.22892523825118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1.7053025658242404E-13</v>
      </c>
      <c r="BE133" s="14">
        <f>BD133*VLOOKUP('Données projet'!$B$11,Paramètres!$A$1:$I$89,3,0)*VLOOKUP('Données projet'!$B$11,Paramètres!$A$1:$I$89,5,0)</f>
        <v>1.3301360013429075E-13</v>
      </c>
      <c r="BF133" s="14">
        <f t="shared" ref="BF133:BF153" si="145">EXP(-1.0587+0.8836*LN(BE133)+0.284)</f>
        <v>1.9329766731057041E-12</v>
      </c>
      <c r="BG133" s="22">
        <f t="shared" si="115"/>
        <v>3.5982663925596575E-12</v>
      </c>
      <c r="BH133" s="62">
        <f t="shared" si="116"/>
        <v>293.3333333333369</v>
      </c>
      <c r="BI133" s="62">
        <f ca="1">AVERAGE(OFFSET($BH$3,0,0,'Données projet'!$E$11+1,1))-AVERAGE(OFFSET($H$3,0,0,'Données projet'!$E$11+1,1))</f>
        <v>312.09994042858187</v>
      </c>
      <c r="BJ133" s="62">
        <f t="shared" ref="BJ133:BJ196" si="146">$BJ$3</f>
        <v>283.48738729114024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-2.2737367544323206E-13</v>
      </c>
      <c r="BZ133" s="14">
        <f>BY133*VLOOKUP('Données projet'!$B$12,Paramètres!$A$1:$I$89,3,0)*VLOOKUP('Données projet'!$B$12,Paramètres!$A$1:$I$89,5,0)</f>
        <v>-1.8089849618263545E-13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370.79299728190904</v>
      </c>
      <c r="CE133" s="62">
        <f t="shared" ref="CE133:CE196" si="148">$CE$3</f>
        <v>404.95703400805775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-1.4210854715202004E-13</v>
      </c>
      <c r="CU133" s="18">
        <f>CT133*VLOOKUP('Données projet'!$B$13,Paramètres!$A$1:$I$89,3,0)*VLOOKUP('Données projet'!$B$13,Paramètres!$A$1:$I$89,5,0)</f>
        <v>-1.3523049346986227E-13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351.34897243264044</v>
      </c>
      <c r="CZ133" s="62">
        <f t="shared" ref="CZ133:CZ196" si="150">$CZ$3</f>
        <v>268.39685058071603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-5.6843418860808015E-14</v>
      </c>
      <c r="DP133" s="18">
        <f>DO133*VLOOKUP('Données projet'!$B$14,Paramètres!$A$1:$I$89,3,0)*VLOOKUP('Données projet'!$B$14,Paramètres!$A$1:$I$89,5,0)</f>
        <v>-3.813056537183002E-14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290.46086333591074</v>
      </c>
      <c r="DU133" s="62">
        <f t="shared" ref="DU133:DU196" si="152">$DU$3</f>
        <v>236.8495901994267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-1.1368683772161603E-13</v>
      </c>
      <c r="EK133" s="18">
        <f>EJ133*VLOOKUP('Données projet'!$B$15,Paramètres!$A$1:$I$89,3,0)*VLOOKUP('Données projet'!$B$15,Paramètres!$A$1:$I$89,5,0)</f>
        <v>-9.2222762759774927E-14</v>
      </c>
      <c r="EL133" s="14" t="e">
        <f t="shared" ref="EL133:EL153" si="153">EXP(-1.0587+0.8836*LN(EK133)+0.284)</f>
        <v>#NUM!</v>
      </c>
      <c r="EM133" s="22" t="e">
        <f t="shared" si="127"/>
        <v>#NUM!</v>
      </c>
      <c r="EN133" s="62" t="e">
        <f t="shared" si="128"/>
        <v>#NUM!</v>
      </c>
      <c r="EO133" s="62">
        <f ca="1">AVERAGE(OFFSET($EN$3,0,0,'Données projet'!$E$15+1,1))-AVERAGE(OFFSET($H$3,0,0,'Données projet'!$E$15+1,1))</f>
        <v>256.19915261735281</v>
      </c>
      <c r="EP133" s="62">
        <f t="shared" ref="EP133:EP196" si="154">$EP$3</f>
        <v>297.47246687305056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-1.1368683772161603E-13</v>
      </c>
      <c r="O134" s="14">
        <f>N134*VLOOKUP('Données projet'!$B$9,Paramètres!$A$1:$I$89,3,0)*VLOOKUP('Données projet'!$B$9,Paramètres!$A$1:$I$89,5,0)</f>
        <v>-9.7543306765146564E-14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446.27304516866047</v>
      </c>
      <c r="T134" s="62">
        <f t="shared" si="142"/>
        <v>230.82970731138215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-3.4106051316484809E-13</v>
      </c>
      <c r="AJ134" s="14">
        <f>AI134*VLOOKUP('Données projet'!$B$10,Paramètres!$A$1:$I$89,3,0)*VLOOKUP('Données projet'!$B$10,Paramètres!$A$1:$I$89,5,0)</f>
        <v>-2.7134774427395314E-13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427.78067187784063</v>
      </c>
      <c r="AO134" s="62">
        <f t="shared" si="144"/>
        <v>464.22892523825118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1.7053025658242404E-13</v>
      </c>
      <c r="BE134" s="14">
        <f>BD134*VLOOKUP('Données projet'!$B$11,Paramètres!$A$1:$I$89,3,0)*VLOOKUP('Données projet'!$B$11,Paramètres!$A$1:$I$89,5,0)</f>
        <v>1.3301360013429075E-13</v>
      </c>
      <c r="BF134" s="14">
        <f t="shared" si="145"/>
        <v>1.9329766731057041E-12</v>
      </c>
      <c r="BG134" s="22">
        <f t="shared" si="115"/>
        <v>3.5982663925596575E-12</v>
      </c>
      <c r="BH134" s="62">
        <f t="shared" si="116"/>
        <v>293.3333333333369</v>
      </c>
      <c r="BI134" s="62">
        <f ca="1">AVERAGE(OFFSET($BH$3,0,0,'Données projet'!$E$11+1,1))-AVERAGE(OFFSET($H$3,0,0,'Données projet'!$E$11+1,1))</f>
        <v>312.09994042858187</v>
      </c>
      <c r="BJ134" s="62">
        <f t="shared" si="146"/>
        <v>283.48738729114024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-2.2737367544323206E-13</v>
      </c>
      <c r="BZ134" s="14">
        <f>BY134*VLOOKUP('Données projet'!$B$12,Paramètres!$A$1:$I$89,3,0)*VLOOKUP('Données projet'!$B$12,Paramètres!$A$1:$I$89,5,0)</f>
        <v>-1.8089849618263545E-13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370.79299728190904</v>
      </c>
      <c r="CE134" s="62">
        <f t="shared" si="148"/>
        <v>404.95703400805775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-1.4210854715202004E-13</v>
      </c>
      <c r="CU134" s="18">
        <f>CT134*VLOOKUP('Données projet'!$B$13,Paramètres!$A$1:$I$89,3,0)*VLOOKUP('Données projet'!$B$13,Paramètres!$A$1:$I$89,5,0)</f>
        <v>-1.3523049346986227E-13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351.34897243264044</v>
      </c>
      <c r="CZ134" s="62">
        <f t="shared" si="150"/>
        <v>268.39685058071603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-5.6843418860808015E-14</v>
      </c>
      <c r="DP134" s="18">
        <f>DO134*VLOOKUP('Données projet'!$B$14,Paramètres!$A$1:$I$89,3,0)*VLOOKUP('Données projet'!$B$14,Paramètres!$A$1:$I$89,5,0)</f>
        <v>-3.813056537183002E-14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290.46086333591074</v>
      </c>
      <c r="DU134" s="62">
        <f t="shared" si="152"/>
        <v>236.8495901994267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-1.1368683772161603E-13</v>
      </c>
      <c r="EK134" s="18">
        <f>EJ134*VLOOKUP('Données projet'!$B$15,Paramètres!$A$1:$I$89,3,0)*VLOOKUP('Données projet'!$B$15,Paramètres!$A$1:$I$89,5,0)</f>
        <v>-9.2222762759774927E-14</v>
      </c>
      <c r="EL134" s="14" t="e">
        <f t="shared" si="153"/>
        <v>#NUM!</v>
      </c>
      <c r="EM134" s="22" t="e">
        <f t="shared" si="127"/>
        <v>#NUM!</v>
      </c>
      <c r="EN134" s="62" t="e">
        <f t="shared" si="128"/>
        <v>#NUM!</v>
      </c>
      <c r="EO134" s="62">
        <f ca="1">AVERAGE(OFFSET($EN$3,0,0,'Données projet'!$E$15+1,1))-AVERAGE(OFFSET($H$3,0,0,'Données projet'!$E$15+1,1))</f>
        <v>256.19915261735281</v>
      </c>
      <c r="EP134" s="62">
        <f t="shared" si="154"/>
        <v>297.47246687305056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-1.1368683772161603E-13</v>
      </c>
      <c r="O135" s="14">
        <f>N135*VLOOKUP('Données projet'!$B$9,Paramètres!$A$1:$I$89,3,0)*VLOOKUP('Données projet'!$B$9,Paramètres!$A$1:$I$89,5,0)</f>
        <v>-9.7543306765146564E-14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446.27304516866047</v>
      </c>
      <c r="T135" s="62">
        <f t="shared" si="142"/>
        <v>230.82970731138215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-3.4106051316484809E-13</v>
      </c>
      <c r="AJ135" s="14">
        <f>AI135*VLOOKUP('Données projet'!$B$10,Paramètres!$A$1:$I$89,3,0)*VLOOKUP('Données projet'!$B$10,Paramètres!$A$1:$I$89,5,0)</f>
        <v>-2.7134774427395314E-13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427.78067187784063</v>
      </c>
      <c r="AO135" s="62">
        <f t="shared" si="144"/>
        <v>464.22892523825118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1.7053025658242404E-13</v>
      </c>
      <c r="BE135" s="14">
        <f>BD135*VLOOKUP('Données projet'!$B$11,Paramètres!$A$1:$I$89,3,0)*VLOOKUP('Données projet'!$B$11,Paramètres!$A$1:$I$89,5,0)</f>
        <v>1.3301360013429075E-13</v>
      </c>
      <c r="BF135" s="14">
        <f t="shared" si="145"/>
        <v>1.9329766731057041E-12</v>
      </c>
      <c r="BG135" s="22">
        <f t="shared" si="115"/>
        <v>3.5982663925596575E-12</v>
      </c>
      <c r="BH135" s="62">
        <f t="shared" si="116"/>
        <v>293.3333333333369</v>
      </c>
      <c r="BI135" s="62">
        <f ca="1">AVERAGE(OFFSET($BH$3,0,0,'Données projet'!$E$11+1,1))-AVERAGE(OFFSET($H$3,0,0,'Données projet'!$E$11+1,1))</f>
        <v>312.09994042858187</v>
      </c>
      <c r="BJ135" s="62">
        <f t="shared" si="146"/>
        <v>283.48738729114024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-2.2737367544323206E-13</v>
      </c>
      <c r="BZ135" s="14">
        <f>BY135*VLOOKUP('Données projet'!$B$12,Paramètres!$A$1:$I$89,3,0)*VLOOKUP('Données projet'!$B$12,Paramètres!$A$1:$I$89,5,0)</f>
        <v>-1.8089849618263545E-13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370.79299728190904</v>
      </c>
      <c r="CE135" s="62">
        <f t="shared" si="148"/>
        <v>404.95703400805775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-1.4210854715202004E-13</v>
      </c>
      <c r="CU135" s="18">
        <f>CT135*VLOOKUP('Données projet'!$B$13,Paramètres!$A$1:$I$89,3,0)*VLOOKUP('Données projet'!$B$13,Paramètres!$A$1:$I$89,5,0)</f>
        <v>-1.3523049346986227E-13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351.34897243264044</v>
      </c>
      <c r="CZ135" s="62">
        <f t="shared" si="150"/>
        <v>268.39685058071603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-5.6843418860808015E-14</v>
      </c>
      <c r="DP135" s="18">
        <f>DO135*VLOOKUP('Données projet'!$B$14,Paramètres!$A$1:$I$89,3,0)*VLOOKUP('Données projet'!$B$14,Paramètres!$A$1:$I$89,5,0)</f>
        <v>-3.813056537183002E-14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290.46086333591074</v>
      </c>
      <c r="DU135" s="62">
        <f t="shared" si="152"/>
        <v>236.8495901994267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-1.1368683772161603E-13</v>
      </c>
      <c r="EK135" s="18">
        <f>EJ135*VLOOKUP('Données projet'!$B$15,Paramètres!$A$1:$I$89,3,0)*VLOOKUP('Données projet'!$B$15,Paramètres!$A$1:$I$89,5,0)</f>
        <v>-9.2222762759774927E-14</v>
      </c>
      <c r="EL135" s="14" t="e">
        <f t="shared" si="153"/>
        <v>#NUM!</v>
      </c>
      <c r="EM135" s="22" t="e">
        <f t="shared" si="127"/>
        <v>#NUM!</v>
      </c>
      <c r="EN135" s="62" t="e">
        <f t="shared" si="128"/>
        <v>#NUM!</v>
      </c>
      <c r="EO135" s="62">
        <f ca="1">AVERAGE(OFFSET($EN$3,0,0,'Données projet'!$E$15+1,1))-AVERAGE(OFFSET($H$3,0,0,'Données projet'!$E$15+1,1))</f>
        <v>256.19915261735281</v>
      </c>
      <c r="EP135" s="62">
        <f t="shared" si="154"/>
        <v>297.47246687305056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-1.1368683772161603E-13</v>
      </c>
      <c r="O136" s="14">
        <f>N136*VLOOKUP('Données projet'!$B$9,Paramètres!$A$1:$I$89,3,0)*VLOOKUP('Données projet'!$B$9,Paramètres!$A$1:$I$89,5,0)</f>
        <v>-9.7543306765146564E-14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446.27304516866047</v>
      </c>
      <c r="T136" s="62">
        <f t="shared" si="142"/>
        <v>230.82970731138215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-3.4106051316484809E-13</v>
      </c>
      <c r="AJ136" s="14">
        <f>AI136*VLOOKUP('Données projet'!$B$10,Paramètres!$A$1:$I$89,3,0)*VLOOKUP('Données projet'!$B$10,Paramètres!$A$1:$I$89,5,0)</f>
        <v>-2.7134774427395314E-13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427.78067187784063</v>
      </c>
      <c r="AO136" s="62">
        <f t="shared" si="144"/>
        <v>464.22892523825118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1.7053025658242404E-13</v>
      </c>
      <c r="BE136" s="14">
        <f>BD136*VLOOKUP('Données projet'!$B$11,Paramètres!$A$1:$I$89,3,0)*VLOOKUP('Données projet'!$B$11,Paramètres!$A$1:$I$89,5,0)</f>
        <v>1.3301360013429075E-13</v>
      </c>
      <c r="BF136" s="14">
        <f t="shared" si="145"/>
        <v>1.9329766731057041E-12</v>
      </c>
      <c r="BG136" s="22">
        <f t="shared" si="115"/>
        <v>3.5982663925596575E-12</v>
      </c>
      <c r="BH136" s="62">
        <f t="shared" si="116"/>
        <v>293.3333333333369</v>
      </c>
      <c r="BI136" s="62">
        <f ca="1">AVERAGE(OFFSET($BH$3,0,0,'Données projet'!$E$11+1,1))-AVERAGE(OFFSET($H$3,0,0,'Données projet'!$E$11+1,1))</f>
        <v>312.09994042858187</v>
      </c>
      <c r="BJ136" s="62">
        <f t="shared" si="146"/>
        <v>283.48738729114024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-2.2737367544323206E-13</v>
      </c>
      <c r="BZ136" s="14">
        <f>BY136*VLOOKUP('Données projet'!$B$12,Paramètres!$A$1:$I$89,3,0)*VLOOKUP('Données projet'!$B$12,Paramètres!$A$1:$I$89,5,0)</f>
        <v>-1.8089849618263545E-13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370.79299728190904</v>
      </c>
      <c r="CE136" s="62">
        <f t="shared" si="148"/>
        <v>404.95703400805775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-1.4210854715202004E-13</v>
      </c>
      <c r="CU136" s="18">
        <f>CT136*VLOOKUP('Données projet'!$B$13,Paramètres!$A$1:$I$89,3,0)*VLOOKUP('Données projet'!$B$13,Paramètres!$A$1:$I$89,5,0)</f>
        <v>-1.3523049346986227E-13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351.34897243264044</v>
      </c>
      <c r="CZ136" s="62">
        <f t="shared" si="150"/>
        <v>268.39685058071603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-5.6843418860808015E-14</v>
      </c>
      <c r="DP136" s="18">
        <f>DO136*VLOOKUP('Données projet'!$B$14,Paramètres!$A$1:$I$89,3,0)*VLOOKUP('Données projet'!$B$14,Paramètres!$A$1:$I$89,5,0)</f>
        <v>-3.813056537183002E-14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290.46086333591074</v>
      </c>
      <c r="DU136" s="62">
        <f t="shared" si="152"/>
        <v>236.8495901994267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-1.1368683772161603E-13</v>
      </c>
      <c r="EK136" s="18">
        <f>EJ136*VLOOKUP('Données projet'!$B$15,Paramètres!$A$1:$I$89,3,0)*VLOOKUP('Données projet'!$B$15,Paramètres!$A$1:$I$89,5,0)</f>
        <v>-9.2222762759774927E-14</v>
      </c>
      <c r="EL136" s="14" t="e">
        <f t="shared" si="153"/>
        <v>#NUM!</v>
      </c>
      <c r="EM136" s="22" t="e">
        <f t="shared" si="127"/>
        <v>#NUM!</v>
      </c>
      <c r="EN136" s="62" t="e">
        <f t="shared" si="128"/>
        <v>#NUM!</v>
      </c>
      <c r="EO136" s="62">
        <f ca="1">AVERAGE(OFFSET($EN$3,0,0,'Données projet'!$E$15+1,1))-AVERAGE(OFFSET($H$3,0,0,'Données projet'!$E$15+1,1))</f>
        <v>256.19915261735281</v>
      </c>
      <c r="EP136" s="62">
        <f t="shared" si="154"/>
        <v>297.47246687305056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-1.1368683772161603E-13</v>
      </c>
      <c r="O137" s="14">
        <f>N137*VLOOKUP('Données projet'!$B$9,Paramètres!$A$1:$I$89,3,0)*VLOOKUP('Données projet'!$B$9,Paramètres!$A$1:$I$89,5,0)</f>
        <v>-9.7543306765146564E-14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446.27304516866047</v>
      </c>
      <c r="T137" s="62">
        <f t="shared" si="142"/>
        <v>230.82970731138215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-3.4106051316484809E-13</v>
      </c>
      <c r="AJ137" s="14">
        <f>AI137*VLOOKUP('Données projet'!$B$10,Paramètres!$A$1:$I$89,3,0)*VLOOKUP('Données projet'!$B$10,Paramètres!$A$1:$I$89,5,0)</f>
        <v>-2.7134774427395314E-13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427.78067187784063</v>
      </c>
      <c r="AO137" s="62">
        <f t="shared" si="144"/>
        <v>464.22892523825118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1.7053025658242404E-13</v>
      </c>
      <c r="BE137" s="14">
        <f>BD137*VLOOKUP('Données projet'!$B$11,Paramètres!$A$1:$I$89,3,0)*VLOOKUP('Données projet'!$B$11,Paramètres!$A$1:$I$89,5,0)</f>
        <v>1.3301360013429075E-13</v>
      </c>
      <c r="BF137" s="14">
        <f t="shared" si="145"/>
        <v>1.9329766731057041E-12</v>
      </c>
      <c r="BG137" s="22">
        <f t="shared" si="115"/>
        <v>3.5982663925596575E-12</v>
      </c>
      <c r="BH137" s="62">
        <f t="shared" si="116"/>
        <v>293.3333333333369</v>
      </c>
      <c r="BI137" s="62">
        <f ca="1">AVERAGE(OFFSET($BH$3,0,0,'Données projet'!$E$11+1,1))-AVERAGE(OFFSET($H$3,0,0,'Données projet'!$E$11+1,1))</f>
        <v>312.09994042858187</v>
      </c>
      <c r="BJ137" s="62">
        <f t="shared" si="146"/>
        <v>283.48738729114024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-2.2737367544323206E-13</v>
      </c>
      <c r="BZ137" s="14">
        <f>BY137*VLOOKUP('Données projet'!$B$12,Paramètres!$A$1:$I$89,3,0)*VLOOKUP('Données projet'!$B$12,Paramètres!$A$1:$I$89,5,0)</f>
        <v>-1.8089849618263545E-13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370.79299728190904</v>
      </c>
      <c r="CE137" s="62">
        <f t="shared" si="148"/>
        <v>404.95703400805775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-1.4210854715202004E-13</v>
      </c>
      <c r="CU137" s="18">
        <f>CT137*VLOOKUP('Données projet'!$B$13,Paramètres!$A$1:$I$89,3,0)*VLOOKUP('Données projet'!$B$13,Paramètres!$A$1:$I$89,5,0)</f>
        <v>-1.3523049346986227E-13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351.34897243264044</v>
      </c>
      <c r="CZ137" s="62">
        <f t="shared" si="150"/>
        <v>268.39685058071603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-5.6843418860808015E-14</v>
      </c>
      <c r="DP137" s="18">
        <f>DO137*VLOOKUP('Données projet'!$B$14,Paramètres!$A$1:$I$89,3,0)*VLOOKUP('Données projet'!$B$14,Paramètres!$A$1:$I$89,5,0)</f>
        <v>-3.813056537183002E-14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290.46086333591074</v>
      </c>
      <c r="DU137" s="62">
        <f t="shared" si="152"/>
        <v>236.8495901994267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-1.1368683772161603E-13</v>
      </c>
      <c r="EK137" s="18">
        <f>EJ137*VLOOKUP('Données projet'!$B$15,Paramètres!$A$1:$I$89,3,0)*VLOOKUP('Données projet'!$B$15,Paramètres!$A$1:$I$89,5,0)</f>
        <v>-9.2222762759774927E-14</v>
      </c>
      <c r="EL137" s="14" t="e">
        <f t="shared" si="153"/>
        <v>#NUM!</v>
      </c>
      <c r="EM137" s="22" t="e">
        <f t="shared" si="127"/>
        <v>#NUM!</v>
      </c>
      <c r="EN137" s="62" t="e">
        <f t="shared" si="128"/>
        <v>#NUM!</v>
      </c>
      <c r="EO137" s="62">
        <f ca="1">AVERAGE(OFFSET($EN$3,0,0,'Données projet'!$E$15+1,1))-AVERAGE(OFFSET($H$3,0,0,'Données projet'!$E$15+1,1))</f>
        <v>256.19915261735281</v>
      </c>
      <c r="EP137" s="62">
        <f t="shared" si="154"/>
        <v>297.47246687305056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-1.1368683772161603E-13</v>
      </c>
      <c r="O138" s="14">
        <f>N138*VLOOKUP('Données projet'!$B$9,Paramètres!$A$1:$I$89,3,0)*VLOOKUP('Données projet'!$B$9,Paramètres!$A$1:$I$89,5,0)</f>
        <v>-9.7543306765146564E-14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446.27304516866047</v>
      </c>
      <c r="T138" s="62">
        <f t="shared" si="142"/>
        <v>230.82970731138215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-3.4106051316484809E-13</v>
      </c>
      <c r="AJ138" s="14">
        <f>AI138*VLOOKUP('Données projet'!$B$10,Paramètres!$A$1:$I$89,3,0)*VLOOKUP('Données projet'!$B$10,Paramètres!$A$1:$I$89,5,0)</f>
        <v>-2.7134774427395314E-13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427.78067187784063</v>
      </c>
      <c r="AO138" s="62">
        <f t="shared" si="144"/>
        <v>464.22892523825118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1.7053025658242404E-13</v>
      </c>
      <c r="BE138" s="14">
        <f>BD138*VLOOKUP('Données projet'!$B$11,Paramètres!$A$1:$I$89,3,0)*VLOOKUP('Données projet'!$B$11,Paramètres!$A$1:$I$89,5,0)</f>
        <v>1.3301360013429075E-13</v>
      </c>
      <c r="BF138" s="14">
        <f t="shared" si="145"/>
        <v>1.9329766731057041E-12</v>
      </c>
      <c r="BG138" s="22">
        <f t="shared" si="115"/>
        <v>3.5982663925596575E-12</v>
      </c>
      <c r="BH138" s="62">
        <f t="shared" si="116"/>
        <v>293.3333333333369</v>
      </c>
      <c r="BI138" s="62">
        <f ca="1">AVERAGE(OFFSET($BH$3,0,0,'Données projet'!$E$11+1,1))-AVERAGE(OFFSET($H$3,0,0,'Données projet'!$E$11+1,1))</f>
        <v>312.09994042858187</v>
      </c>
      <c r="BJ138" s="62">
        <f t="shared" si="146"/>
        <v>283.48738729114024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-2.2737367544323206E-13</v>
      </c>
      <c r="BZ138" s="14">
        <f>BY138*VLOOKUP('Données projet'!$B$12,Paramètres!$A$1:$I$89,3,0)*VLOOKUP('Données projet'!$B$12,Paramètres!$A$1:$I$89,5,0)</f>
        <v>-1.8089849618263545E-13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370.79299728190904</v>
      </c>
      <c r="CE138" s="62">
        <f t="shared" si="148"/>
        <v>404.95703400805775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-1.4210854715202004E-13</v>
      </c>
      <c r="CU138" s="18">
        <f>CT138*VLOOKUP('Données projet'!$B$13,Paramètres!$A$1:$I$89,3,0)*VLOOKUP('Données projet'!$B$13,Paramètres!$A$1:$I$89,5,0)</f>
        <v>-1.3523049346986227E-13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351.34897243264044</v>
      </c>
      <c r="CZ138" s="62">
        <f t="shared" si="150"/>
        <v>268.39685058071603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-5.6843418860808015E-14</v>
      </c>
      <c r="DP138" s="18">
        <f>DO138*VLOOKUP('Données projet'!$B$14,Paramètres!$A$1:$I$89,3,0)*VLOOKUP('Données projet'!$B$14,Paramètres!$A$1:$I$89,5,0)</f>
        <v>-3.813056537183002E-14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290.46086333591074</v>
      </c>
      <c r="DU138" s="62">
        <f t="shared" si="152"/>
        <v>236.8495901994267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-1.1368683772161603E-13</v>
      </c>
      <c r="EK138" s="18">
        <f>EJ138*VLOOKUP('Données projet'!$B$15,Paramètres!$A$1:$I$89,3,0)*VLOOKUP('Données projet'!$B$15,Paramètres!$A$1:$I$89,5,0)</f>
        <v>-9.2222762759774927E-14</v>
      </c>
      <c r="EL138" s="14" t="e">
        <f t="shared" si="153"/>
        <v>#NUM!</v>
      </c>
      <c r="EM138" s="22" t="e">
        <f t="shared" si="127"/>
        <v>#NUM!</v>
      </c>
      <c r="EN138" s="62" t="e">
        <f t="shared" si="128"/>
        <v>#NUM!</v>
      </c>
      <c r="EO138" s="62">
        <f ca="1">AVERAGE(OFFSET($EN$3,0,0,'Données projet'!$E$15+1,1))-AVERAGE(OFFSET($H$3,0,0,'Données projet'!$E$15+1,1))</f>
        <v>256.19915261735281</v>
      </c>
      <c r="EP138" s="62">
        <f t="shared" si="154"/>
        <v>297.47246687305056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-1.1368683772161603E-13</v>
      </c>
      <c r="O139" s="14">
        <f>N139*VLOOKUP('Données projet'!$B$9,Paramètres!$A$1:$I$89,3,0)*VLOOKUP('Données projet'!$B$9,Paramètres!$A$1:$I$89,5,0)</f>
        <v>-9.7543306765146564E-14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446.27304516866047</v>
      </c>
      <c r="T139" s="62">
        <f t="shared" si="142"/>
        <v>230.82970731138215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-3.4106051316484809E-13</v>
      </c>
      <c r="AJ139" s="14">
        <f>AI139*VLOOKUP('Données projet'!$B$10,Paramètres!$A$1:$I$89,3,0)*VLOOKUP('Données projet'!$B$10,Paramètres!$A$1:$I$89,5,0)</f>
        <v>-2.7134774427395314E-13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427.78067187784063</v>
      </c>
      <c r="AO139" s="62">
        <f t="shared" si="144"/>
        <v>464.22892523825118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1.7053025658242404E-13</v>
      </c>
      <c r="BE139" s="14">
        <f>BD139*VLOOKUP('Données projet'!$B$11,Paramètres!$A$1:$I$89,3,0)*VLOOKUP('Données projet'!$B$11,Paramètres!$A$1:$I$89,5,0)</f>
        <v>1.3301360013429075E-13</v>
      </c>
      <c r="BF139" s="14">
        <f t="shared" si="145"/>
        <v>1.9329766731057041E-12</v>
      </c>
      <c r="BG139" s="22">
        <f t="shared" si="115"/>
        <v>3.5982663925596575E-12</v>
      </c>
      <c r="BH139" s="62">
        <f t="shared" si="116"/>
        <v>293.3333333333369</v>
      </c>
      <c r="BI139" s="62">
        <f ca="1">AVERAGE(OFFSET($BH$3,0,0,'Données projet'!$E$11+1,1))-AVERAGE(OFFSET($H$3,0,0,'Données projet'!$E$11+1,1))</f>
        <v>312.09994042858187</v>
      </c>
      <c r="BJ139" s="62">
        <f t="shared" si="146"/>
        <v>283.48738729114024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-2.2737367544323206E-13</v>
      </c>
      <c r="BZ139" s="14">
        <f>BY139*VLOOKUP('Données projet'!$B$12,Paramètres!$A$1:$I$89,3,0)*VLOOKUP('Données projet'!$B$12,Paramètres!$A$1:$I$89,5,0)</f>
        <v>-1.8089849618263545E-13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370.79299728190904</v>
      </c>
      <c r="CE139" s="62">
        <f t="shared" si="148"/>
        <v>404.95703400805775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-1.4210854715202004E-13</v>
      </c>
      <c r="CU139" s="18">
        <f>CT139*VLOOKUP('Données projet'!$B$13,Paramètres!$A$1:$I$89,3,0)*VLOOKUP('Données projet'!$B$13,Paramètres!$A$1:$I$89,5,0)</f>
        <v>-1.3523049346986227E-13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351.34897243264044</v>
      </c>
      <c r="CZ139" s="62">
        <f t="shared" si="150"/>
        <v>268.39685058071603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-5.6843418860808015E-14</v>
      </c>
      <c r="DP139" s="18">
        <f>DO139*VLOOKUP('Données projet'!$B$14,Paramètres!$A$1:$I$89,3,0)*VLOOKUP('Données projet'!$B$14,Paramètres!$A$1:$I$89,5,0)</f>
        <v>-3.813056537183002E-14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290.46086333591074</v>
      </c>
      <c r="DU139" s="62">
        <f t="shared" si="152"/>
        <v>236.8495901994267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-1.1368683772161603E-13</v>
      </c>
      <c r="EK139" s="18">
        <f>EJ139*VLOOKUP('Données projet'!$B$15,Paramètres!$A$1:$I$89,3,0)*VLOOKUP('Données projet'!$B$15,Paramètres!$A$1:$I$89,5,0)</f>
        <v>-9.2222762759774927E-14</v>
      </c>
      <c r="EL139" s="14" t="e">
        <f t="shared" si="153"/>
        <v>#NUM!</v>
      </c>
      <c r="EM139" s="22" t="e">
        <f t="shared" si="127"/>
        <v>#NUM!</v>
      </c>
      <c r="EN139" s="62" t="e">
        <f t="shared" si="128"/>
        <v>#NUM!</v>
      </c>
      <c r="EO139" s="62">
        <f ca="1">AVERAGE(OFFSET($EN$3,0,0,'Données projet'!$E$15+1,1))-AVERAGE(OFFSET($H$3,0,0,'Données projet'!$E$15+1,1))</f>
        <v>256.19915261735281</v>
      </c>
      <c r="EP139" s="62">
        <f t="shared" si="154"/>
        <v>297.47246687305056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-1.1368683772161603E-13</v>
      </c>
      <c r="O140" s="14">
        <f>N140*VLOOKUP('Données projet'!$B$9,Paramètres!$A$1:$I$89,3,0)*VLOOKUP('Données projet'!$B$9,Paramètres!$A$1:$I$89,5,0)</f>
        <v>-9.7543306765146564E-14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446.27304516866047</v>
      </c>
      <c r="T140" s="62">
        <f t="shared" si="142"/>
        <v>230.82970731138215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-3.4106051316484809E-13</v>
      </c>
      <c r="AJ140" s="14">
        <f>AI140*VLOOKUP('Données projet'!$B$10,Paramètres!$A$1:$I$89,3,0)*VLOOKUP('Données projet'!$B$10,Paramètres!$A$1:$I$89,5,0)</f>
        <v>-2.7134774427395314E-13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427.78067187784063</v>
      </c>
      <c r="AO140" s="62">
        <f t="shared" si="144"/>
        <v>464.22892523825118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1.7053025658242404E-13</v>
      </c>
      <c r="BE140" s="14">
        <f>BD140*VLOOKUP('Données projet'!$B$11,Paramètres!$A$1:$I$89,3,0)*VLOOKUP('Données projet'!$B$11,Paramètres!$A$1:$I$89,5,0)</f>
        <v>1.3301360013429075E-13</v>
      </c>
      <c r="BF140" s="14">
        <f t="shared" si="145"/>
        <v>1.9329766731057041E-12</v>
      </c>
      <c r="BG140" s="22">
        <f t="shared" si="115"/>
        <v>3.5982663925596575E-12</v>
      </c>
      <c r="BH140" s="62">
        <f t="shared" si="116"/>
        <v>293.3333333333369</v>
      </c>
      <c r="BI140" s="62">
        <f ca="1">AVERAGE(OFFSET($BH$3,0,0,'Données projet'!$E$11+1,1))-AVERAGE(OFFSET($H$3,0,0,'Données projet'!$E$11+1,1))</f>
        <v>312.09994042858187</v>
      </c>
      <c r="BJ140" s="62">
        <f t="shared" si="146"/>
        <v>283.48738729114024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-2.2737367544323206E-13</v>
      </c>
      <c r="BZ140" s="14">
        <f>BY140*VLOOKUP('Données projet'!$B$12,Paramètres!$A$1:$I$89,3,0)*VLOOKUP('Données projet'!$B$12,Paramètres!$A$1:$I$89,5,0)</f>
        <v>-1.8089849618263545E-13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370.79299728190904</v>
      </c>
      <c r="CE140" s="62">
        <f t="shared" si="148"/>
        <v>404.95703400805775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-1.4210854715202004E-13</v>
      </c>
      <c r="CU140" s="18">
        <f>CT140*VLOOKUP('Données projet'!$B$13,Paramètres!$A$1:$I$89,3,0)*VLOOKUP('Données projet'!$B$13,Paramètres!$A$1:$I$89,5,0)</f>
        <v>-1.3523049346986227E-13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351.34897243264044</v>
      </c>
      <c r="CZ140" s="62">
        <f t="shared" si="150"/>
        <v>268.39685058071603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-5.6843418860808015E-14</v>
      </c>
      <c r="DP140" s="18">
        <f>DO140*VLOOKUP('Données projet'!$B$14,Paramètres!$A$1:$I$89,3,0)*VLOOKUP('Données projet'!$B$14,Paramètres!$A$1:$I$89,5,0)</f>
        <v>-3.813056537183002E-14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290.46086333591074</v>
      </c>
      <c r="DU140" s="62">
        <f t="shared" si="152"/>
        <v>236.8495901994267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-1.1368683772161603E-13</v>
      </c>
      <c r="EK140" s="18">
        <f>EJ140*VLOOKUP('Données projet'!$B$15,Paramètres!$A$1:$I$89,3,0)*VLOOKUP('Données projet'!$B$15,Paramètres!$A$1:$I$89,5,0)</f>
        <v>-9.2222762759774927E-14</v>
      </c>
      <c r="EL140" s="14" t="e">
        <f t="shared" si="153"/>
        <v>#NUM!</v>
      </c>
      <c r="EM140" s="22" t="e">
        <f t="shared" si="127"/>
        <v>#NUM!</v>
      </c>
      <c r="EN140" s="62" t="e">
        <f t="shared" si="128"/>
        <v>#NUM!</v>
      </c>
      <c r="EO140" s="62">
        <f ca="1">AVERAGE(OFFSET($EN$3,0,0,'Données projet'!$E$15+1,1))-AVERAGE(OFFSET($H$3,0,0,'Données projet'!$E$15+1,1))</f>
        <v>256.19915261735281</v>
      </c>
      <c r="EP140" s="62">
        <f t="shared" si="154"/>
        <v>297.47246687305056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-1.1368683772161603E-13</v>
      </c>
      <c r="O141" s="14">
        <f>N141*VLOOKUP('Données projet'!$B$9,Paramètres!$A$1:$I$89,3,0)*VLOOKUP('Données projet'!$B$9,Paramètres!$A$1:$I$89,5,0)</f>
        <v>-9.7543306765146564E-14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446.27304516866047</v>
      </c>
      <c r="T141" s="62">
        <f t="shared" si="142"/>
        <v>230.82970731138215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-3.4106051316484809E-13</v>
      </c>
      <c r="AJ141" s="14">
        <f>AI141*VLOOKUP('Données projet'!$B$10,Paramètres!$A$1:$I$89,3,0)*VLOOKUP('Données projet'!$B$10,Paramètres!$A$1:$I$89,5,0)</f>
        <v>-2.7134774427395314E-13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427.78067187784063</v>
      </c>
      <c r="AO141" s="62">
        <f t="shared" si="144"/>
        <v>464.22892523825118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1.7053025658242404E-13</v>
      </c>
      <c r="BE141" s="14">
        <f>BD141*VLOOKUP('Données projet'!$B$11,Paramètres!$A$1:$I$89,3,0)*VLOOKUP('Données projet'!$B$11,Paramètres!$A$1:$I$89,5,0)</f>
        <v>1.3301360013429075E-13</v>
      </c>
      <c r="BF141" s="14">
        <f t="shared" si="145"/>
        <v>1.9329766731057041E-12</v>
      </c>
      <c r="BG141" s="22">
        <f t="shared" si="115"/>
        <v>3.5982663925596575E-12</v>
      </c>
      <c r="BH141" s="62">
        <f t="shared" si="116"/>
        <v>293.3333333333369</v>
      </c>
      <c r="BI141" s="62">
        <f ca="1">AVERAGE(OFFSET($BH$3,0,0,'Données projet'!$E$11+1,1))-AVERAGE(OFFSET($H$3,0,0,'Données projet'!$E$11+1,1))</f>
        <v>312.09994042858187</v>
      </c>
      <c r="BJ141" s="62">
        <f t="shared" si="146"/>
        <v>283.48738729114024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-2.2737367544323206E-13</v>
      </c>
      <c r="BZ141" s="14">
        <f>BY141*VLOOKUP('Données projet'!$B$12,Paramètres!$A$1:$I$89,3,0)*VLOOKUP('Données projet'!$B$12,Paramètres!$A$1:$I$89,5,0)</f>
        <v>-1.8089849618263545E-13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370.79299728190904</v>
      </c>
      <c r="CE141" s="62">
        <f t="shared" si="148"/>
        <v>404.95703400805775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-1.4210854715202004E-13</v>
      </c>
      <c r="CU141" s="18">
        <f>CT141*VLOOKUP('Données projet'!$B$13,Paramètres!$A$1:$I$89,3,0)*VLOOKUP('Données projet'!$B$13,Paramètres!$A$1:$I$89,5,0)</f>
        <v>-1.3523049346986227E-13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351.34897243264044</v>
      </c>
      <c r="CZ141" s="62">
        <f t="shared" si="150"/>
        <v>268.39685058071603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-5.6843418860808015E-14</v>
      </c>
      <c r="DP141" s="18">
        <f>DO141*VLOOKUP('Données projet'!$B$14,Paramètres!$A$1:$I$89,3,0)*VLOOKUP('Données projet'!$B$14,Paramètres!$A$1:$I$89,5,0)</f>
        <v>-3.813056537183002E-14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290.46086333591074</v>
      </c>
      <c r="DU141" s="62">
        <f t="shared" si="152"/>
        <v>236.8495901994267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-1.1368683772161603E-13</v>
      </c>
      <c r="EK141" s="18">
        <f>EJ141*VLOOKUP('Données projet'!$B$15,Paramètres!$A$1:$I$89,3,0)*VLOOKUP('Données projet'!$B$15,Paramètres!$A$1:$I$89,5,0)</f>
        <v>-9.2222762759774927E-14</v>
      </c>
      <c r="EL141" s="14" t="e">
        <f t="shared" si="153"/>
        <v>#NUM!</v>
      </c>
      <c r="EM141" s="22" t="e">
        <f t="shared" si="127"/>
        <v>#NUM!</v>
      </c>
      <c r="EN141" s="62" t="e">
        <f t="shared" si="128"/>
        <v>#NUM!</v>
      </c>
      <c r="EO141" s="62">
        <f ca="1">AVERAGE(OFFSET($EN$3,0,0,'Données projet'!$E$15+1,1))-AVERAGE(OFFSET($H$3,0,0,'Données projet'!$E$15+1,1))</f>
        <v>256.19915261735281</v>
      </c>
      <c r="EP141" s="62">
        <f t="shared" si="154"/>
        <v>297.47246687305056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-1.1368683772161603E-13</v>
      </c>
      <c r="O142" s="14">
        <f>N142*VLOOKUP('Données projet'!$B$9,Paramètres!$A$1:$I$89,3,0)*VLOOKUP('Données projet'!$B$9,Paramètres!$A$1:$I$89,5,0)</f>
        <v>-9.7543306765146564E-14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446.27304516866047</v>
      </c>
      <c r="T142" s="62">
        <f t="shared" si="142"/>
        <v>230.82970731138215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-3.4106051316484809E-13</v>
      </c>
      <c r="AJ142" s="14">
        <f>AI142*VLOOKUP('Données projet'!$B$10,Paramètres!$A$1:$I$89,3,0)*VLOOKUP('Données projet'!$B$10,Paramètres!$A$1:$I$89,5,0)</f>
        <v>-2.7134774427395314E-13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427.78067187784063</v>
      </c>
      <c r="AO142" s="62">
        <f t="shared" si="144"/>
        <v>464.22892523825118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1.7053025658242404E-13</v>
      </c>
      <c r="BE142" s="14">
        <f>BD142*VLOOKUP('Données projet'!$B$11,Paramètres!$A$1:$I$89,3,0)*VLOOKUP('Données projet'!$B$11,Paramètres!$A$1:$I$89,5,0)</f>
        <v>1.3301360013429075E-13</v>
      </c>
      <c r="BF142" s="14">
        <f t="shared" si="145"/>
        <v>1.9329766731057041E-12</v>
      </c>
      <c r="BG142" s="22">
        <f t="shared" si="115"/>
        <v>3.5982663925596575E-12</v>
      </c>
      <c r="BH142" s="62">
        <f t="shared" si="116"/>
        <v>293.3333333333369</v>
      </c>
      <c r="BI142" s="62">
        <f ca="1">AVERAGE(OFFSET($BH$3,0,0,'Données projet'!$E$11+1,1))-AVERAGE(OFFSET($H$3,0,0,'Données projet'!$E$11+1,1))</f>
        <v>312.09994042858187</v>
      </c>
      <c r="BJ142" s="62">
        <f t="shared" si="146"/>
        <v>283.48738729114024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-2.2737367544323206E-13</v>
      </c>
      <c r="BZ142" s="14">
        <f>BY142*VLOOKUP('Données projet'!$B$12,Paramètres!$A$1:$I$89,3,0)*VLOOKUP('Données projet'!$B$12,Paramètres!$A$1:$I$89,5,0)</f>
        <v>-1.8089849618263545E-13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370.79299728190904</v>
      </c>
      <c r="CE142" s="62">
        <f t="shared" si="148"/>
        <v>404.95703400805775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-1.4210854715202004E-13</v>
      </c>
      <c r="CU142" s="18">
        <f>CT142*VLOOKUP('Données projet'!$B$13,Paramètres!$A$1:$I$89,3,0)*VLOOKUP('Données projet'!$B$13,Paramètres!$A$1:$I$89,5,0)</f>
        <v>-1.3523049346986227E-13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351.34897243264044</v>
      </c>
      <c r="CZ142" s="62">
        <f t="shared" si="150"/>
        <v>268.39685058071603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-5.6843418860808015E-14</v>
      </c>
      <c r="DP142" s="18">
        <f>DO142*VLOOKUP('Données projet'!$B$14,Paramètres!$A$1:$I$89,3,0)*VLOOKUP('Données projet'!$B$14,Paramètres!$A$1:$I$89,5,0)</f>
        <v>-3.813056537183002E-14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290.46086333591074</v>
      </c>
      <c r="DU142" s="62">
        <f t="shared" si="152"/>
        <v>236.8495901994267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-1.1368683772161603E-13</v>
      </c>
      <c r="EK142" s="18">
        <f>EJ142*VLOOKUP('Données projet'!$B$15,Paramètres!$A$1:$I$89,3,0)*VLOOKUP('Données projet'!$B$15,Paramètres!$A$1:$I$89,5,0)</f>
        <v>-9.2222762759774927E-14</v>
      </c>
      <c r="EL142" s="14" t="e">
        <f t="shared" si="153"/>
        <v>#NUM!</v>
      </c>
      <c r="EM142" s="22" t="e">
        <f t="shared" si="127"/>
        <v>#NUM!</v>
      </c>
      <c r="EN142" s="62" t="e">
        <f t="shared" si="128"/>
        <v>#NUM!</v>
      </c>
      <c r="EO142" s="62">
        <f ca="1">AVERAGE(OFFSET($EN$3,0,0,'Données projet'!$E$15+1,1))-AVERAGE(OFFSET($H$3,0,0,'Données projet'!$E$15+1,1))</f>
        <v>256.19915261735281</v>
      </c>
      <c r="EP142" s="62">
        <f t="shared" si="154"/>
        <v>297.47246687305056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-1.1368683772161603E-13</v>
      </c>
      <c r="O143" s="14">
        <f>N143*VLOOKUP('Données projet'!$B$9,Paramètres!$A$1:$I$89,3,0)*VLOOKUP('Données projet'!$B$9,Paramètres!$A$1:$I$89,5,0)</f>
        <v>-9.7543306765146564E-14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446.27304516866047</v>
      </c>
      <c r="T143" s="62">
        <f t="shared" si="142"/>
        <v>230.82970731138215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-3.4106051316484809E-13</v>
      </c>
      <c r="AJ143" s="14">
        <f>AI143*VLOOKUP('Données projet'!$B$10,Paramètres!$A$1:$I$89,3,0)*VLOOKUP('Données projet'!$B$10,Paramètres!$A$1:$I$89,5,0)</f>
        <v>-2.7134774427395314E-13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427.78067187784063</v>
      </c>
      <c r="AO143" s="62">
        <f t="shared" si="144"/>
        <v>464.22892523825118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1.7053025658242404E-13</v>
      </c>
      <c r="BE143" s="14">
        <f>BD143*VLOOKUP('Données projet'!$B$11,Paramètres!$A$1:$I$89,3,0)*VLOOKUP('Données projet'!$B$11,Paramètres!$A$1:$I$89,5,0)</f>
        <v>1.3301360013429075E-13</v>
      </c>
      <c r="BF143" s="14">
        <f t="shared" si="145"/>
        <v>1.9329766731057041E-12</v>
      </c>
      <c r="BG143" s="22">
        <f t="shared" si="115"/>
        <v>3.5982663925596575E-12</v>
      </c>
      <c r="BH143" s="62">
        <f t="shared" si="116"/>
        <v>293.3333333333369</v>
      </c>
      <c r="BI143" s="62">
        <f ca="1">AVERAGE(OFFSET($BH$3,0,0,'Données projet'!$E$11+1,1))-AVERAGE(OFFSET($H$3,0,0,'Données projet'!$E$11+1,1))</f>
        <v>312.09994042858187</v>
      </c>
      <c r="BJ143" s="62">
        <f t="shared" si="146"/>
        <v>283.48738729114024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-2.2737367544323206E-13</v>
      </c>
      <c r="BZ143" s="14">
        <f>BY143*VLOOKUP('Données projet'!$B$12,Paramètres!$A$1:$I$89,3,0)*VLOOKUP('Données projet'!$B$12,Paramètres!$A$1:$I$89,5,0)</f>
        <v>-1.8089849618263545E-13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370.79299728190904</v>
      </c>
      <c r="CE143" s="62">
        <f t="shared" si="148"/>
        <v>404.95703400805775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-1.4210854715202004E-13</v>
      </c>
      <c r="CU143" s="18">
        <f>CT143*VLOOKUP('Données projet'!$B$13,Paramètres!$A$1:$I$89,3,0)*VLOOKUP('Données projet'!$B$13,Paramètres!$A$1:$I$89,5,0)</f>
        <v>-1.3523049346986227E-13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351.34897243264044</v>
      </c>
      <c r="CZ143" s="62">
        <f t="shared" si="150"/>
        <v>268.39685058071603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-5.6843418860808015E-14</v>
      </c>
      <c r="DP143" s="18">
        <f>DO143*VLOOKUP('Données projet'!$B$14,Paramètres!$A$1:$I$89,3,0)*VLOOKUP('Données projet'!$B$14,Paramètres!$A$1:$I$89,5,0)</f>
        <v>-3.813056537183002E-14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290.46086333591074</v>
      </c>
      <c r="DU143" s="62">
        <f t="shared" si="152"/>
        <v>236.8495901994267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-1.1368683772161603E-13</v>
      </c>
      <c r="EK143" s="18">
        <f>EJ143*VLOOKUP('Données projet'!$B$15,Paramètres!$A$1:$I$89,3,0)*VLOOKUP('Données projet'!$B$15,Paramètres!$A$1:$I$89,5,0)</f>
        <v>-9.2222762759774927E-14</v>
      </c>
      <c r="EL143" s="14" t="e">
        <f t="shared" si="153"/>
        <v>#NUM!</v>
      </c>
      <c r="EM143" s="22" t="e">
        <f t="shared" si="127"/>
        <v>#NUM!</v>
      </c>
      <c r="EN143" s="62" t="e">
        <f t="shared" si="128"/>
        <v>#NUM!</v>
      </c>
      <c r="EO143" s="62">
        <f ca="1">AVERAGE(OFFSET($EN$3,0,0,'Données projet'!$E$15+1,1))-AVERAGE(OFFSET($H$3,0,0,'Données projet'!$E$15+1,1))</f>
        <v>256.19915261735281</v>
      </c>
      <c r="EP143" s="62">
        <f t="shared" si="154"/>
        <v>297.47246687305056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-1.1368683772161603E-13</v>
      </c>
      <c r="O144" s="14">
        <f>N144*VLOOKUP('Données projet'!$B$9,Paramètres!$A$1:$I$89,3,0)*VLOOKUP('Données projet'!$B$9,Paramètres!$A$1:$I$89,5,0)</f>
        <v>-9.7543306765146564E-14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446.27304516866047</v>
      </c>
      <c r="T144" s="62">
        <f t="shared" si="142"/>
        <v>230.82970731138215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-3.4106051316484809E-13</v>
      </c>
      <c r="AJ144" s="14">
        <f>AI144*VLOOKUP('Données projet'!$B$10,Paramètres!$A$1:$I$89,3,0)*VLOOKUP('Données projet'!$B$10,Paramètres!$A$1:$I$89,5,0)</f>
        <v>-2.7134774427395314E-13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427.78067187784063</v>
      </c>
      <c r="AO144" s="62">
        <f t="shared" si="144"/>
        <v>464.22892523825118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1.7053025658242404E-13</v>
      </c>
      <c r="BE144" s="14">
        <f>BD144*VLOOKUP('Données projet'!$B$11,Paramètres!$A$1:$I$89,3,0)*VLOOKUP('Données projet'!$B$11,Paramètres!$A$1:$I$89,5,0)</f>
        <v>1.3301360013429075E-13</v>
      </c>
      <c r="BF144" s="14">
        <f t="shared" si="145"/>
        <v>1.9329766731057041E-12</v>
      </c>
      <c r="BG144" s="22">
        <f t="shared" si="115"/>
        <v>3.5982663925596575E-12</v>
      </c>
      <c r="BH144" s="62">
        <f t="shared" si="116"/>
        <v>293.3333333333369</v>
      </c>
      <c r="BI144" s="62">
        <f ca="1">AVERAGE(OFFSET($BH$3,0,0,'Données projet'!$E$11+1,1))-AVERAGE(OFFSET($H$3,0,0,'Données projet'!$E$11+1,1))</f>
        <v>312.09994042858187</v>
      </c>
      <c r="BJ144" s="62">
        <f t="shared" si="146"/>
        <v>283.48738729114024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-2.2737367544323206E-13</v>
      </c>
      <c r="BZ144" s="14">
        <f>BY144*VLOOKUP('Données projet'!$B$12,Paramètres!$A$1:$I$89,3,0)*VLOOKUP('Données projet'!$B$12,Paramètres!$A$1:$I$89,5,0)</f>
        <v>-1.8089849618263545E-13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370.79299728190904</v>
      </c>
      <c r="CE144" s="62">
        <f t="shared" si="148"/>
        <v>404.95703400805775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-1.4210854715202004E-13</v>
      </c>
      <c r="CU144" s="18">
        <f>CT144*VLOOKUP('Données projet'!$B$13,Paramètres!$A$1:$I$89,3,0)*VLOOKUP('Données projet'!$B$13,Paramètres!$A$1:$I$89,5,0)</f>
        <v>-1.3523049346986227E-13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351.34897243264044</v>
      </c>
      <c r="CZ144" s="62">
        <f t="shared" si="150"/>
        <v>268.39685058071603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-5.6843418860808015E-14</v>
      </c>
      <c r="DP144" s="18">
        <f>DO144*VLOOKUP('Données projet'!$B$14,Paramètres!$A$1:$I$89,3,0)*VLOOKUP('Données projet'!$B$14,Paramètres!$A$1:$I$89,5,0)</f>
        <v>-3.813056537183002E-14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290.46086333591074</v>
      </c>
      <c r="DU144" s="62">
        <f t="shared" si="152"/>
        <v>236.8495901994267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-1.1368683772161603E-13</v>
      </c>
      <c r="EK144" s="18">
        <f>EJ144*VLOOKUP('Données projet'!$B$15,Paramètres!$A$1:$I$89,3,0)*VLOOKUP('Données projet'!$B$15,Paramètres!$A$1:$I$89,5,0)</f>
        <v>-9.2222762759774927E-14</v>
      </c>
      <c r="EL144" s="14" t="e">
        <f t="shared" si="153"/>
        <v>#NUM!</v>
      </c>
      <c r="EM144" s="22" t="e">
        <f t="shared" si="127"/>
        <v>#NUM!</v>
      </c>
      <c r="EN144" s="62" t="e">
        <f t="shared" si="128"/>
        <v>#NUM!</v>
      </c>
      <c r="EO144" s="62">
        <f ca="1">AVERAGE(OFFSET($EN$3,0,0,'Données projet'!$E$15+1,1))-AVERAGE(OFFSET($H$3,0,0,'Données projet'!$E$15+1,1))</f>
        <v>256.19915261735281</v>
      </c>
      <c r="EP144" s="62">
        <f t="shared" si="154"/>
        <v>297.47246687305056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-1.1368683772161603E-13</v>
      </c>
      <c r="O145" s="14">
        <f>N145*VLOOKUP('Données projet'!$B$9,Paramètres!$A$1:$I$89,3,0)*VLOOKUP('Données projet'!$B$9,Paramètres!$A$1:$I$89,5,0)</f>
        <v>-9.7543306765146564E-14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446.27304516866047</v>
      </c>
      <c r="T145" s="62">
        <f t="shared" si="142"/>
        <v>230.82970731138215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-3.4106051316484809E-13</v>
      </c>
      <c r="AJ145" s="14">
        <f>AI145*VLOOKUP('Données projet'!$B$10,Paramètres!$A$1:$I$89,3,0)*VLOOKUP('Données projet'!$B$10,Paramètres!$A$1:$I$89,5,0)</f>
        <v>-2.7134774427395314E-13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427.78067187784063</v>
      </c>
      <c r="AO145" s="62">
        <f t="shared" si="144"/>
        <v>464.22892523825118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1.7053025658242404E-13</v>
      </c>
      <c r="BE145" s="14">
        <f>BD145*VLOOKUP('Données projet'!$B$11,Paramètres!$A$1:$I$89,3,0)*VLOOKUP('Données projet'!$B$11,Paramètres!$A$1:$I$89,5,0)</f>
        <v>1.3301360013429075E-13</v>
      </c>
      <c r="BF145" s="14">
        <f t="shared" si="145"/>
        <v>1.9329766731057041E-12</v>
      </c>
      <c r="BG145" s="22">
        <f t="shared" si="115"/>
        <v>3.5982663925596575E-12</v>
      </c>
      <c r="BH145" s="62">
        <f t="shared" si="116"/>
        <v>293.3333333333369</v>
      </c>
      <c r="BI145" s="62">
        <f ca="1">AVERAGE(OFFSET($BH$3,0,0,'Données projet'!$E$11+1,1))-AVERAGE(OFFSET($H$3,0,0,'Données projet'!$E$11+1,1))</f>
        <v>312.09994042858187</v>
      </c>
      <c r="BJ145" s="62">
        <f t="shared" si="146"/>
        <v>283.48738729114024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-2.2737367544323206E-13</v>
      </c>
      <c r="BZ145" s="14">
        <f>BY145*VLOOKUP('Données projet'!$B$12,Paramètres!$A$1:$I$89,3,0)*VLOOKUP('Données projet'!$B$12,Paramètres!$A$1:$I$89,5,0)</f>
        <v>-1.8089849618263545E-13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370.79299728190904</v>
      </c>
      <c r="CE145" s="62">
        <f t="shared" si="148"/>
        <v>404.95703400805775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-1.4210854715202004E-13</v>
      </c>
      <c r="CU145" s="18">
        <f>CT145*VLOOKUP('Données projet'!$B$13,Paramètres!$A$1:$I$89,3,0)*VLOOKUP('Données projet'!$B$13,Paramètres!$A$1:$I$89,5,0)</f>
        <v>-1.3523049346986227E-13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351.34897243264044</v>
      </c>
      <c r="CZ145" s="62">
        <f t="shared" si="150"/>
        <v>268.39685058071603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-5.6843418860808015E-14</v>
      </c>
      <c r="DP145" s="18">
        <f>DO145*VLOOKUP('Données projet'!$B$14,Paramètres!$A$1:$I$89,3,0)*VLOOKUP('Données projet'!$B$14,Paramètres!$A$1:$I$89,5,0)</f>
        <v>-3.813056537183002E-14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290.46086333591074</v>
      </c>
      <c r="DU145" s="62">
        <f t="shared" si="152"/>
        <v>236.8495901994267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-1.1368683772161603E-13</v>
      </c>
      <c r="EK145" s="18">
        <f>EJ145*VLOOKUP('Données projet'!$B$15,Paramètres!$A$1:$I$89,3,0)*VLOOKUP('Données projet'!$B$15,Paramètres!$A$1:$I$89,5,0)</f>
        <v>-9.2222762759774927E-14</v>
      </c>
      <c r="EL145" s="14" t="e">
        <f t="shared" si="153"/>
        <v>#NUM!</v>
      </c>
      <c r="EM145" s="22" t="e">
        <f t="shared" si="127"/>
        <v>#NUM!</v>
      </c>
      <c r="EN145" s="62" t="e">
        <f t="shared" si="128"/>
        <v>#NUM!</v>
      </c>
      <c r="EO145" s="62">
        <f ca="1">AVERAGE(OFFSET($EN$3,0,0,'Données projet'!$E$15+1,1))-AVERAGE(OFFSET($H$3,0,0,'Données projet'!$E$15+1,1))</f>
        <v>256.19915261735281</v>
      </c>
      <c r="EP145" s="62">
        <f t="shared" si="154"/>
        <v>297.47246687305056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-1.1368683772161603E-13</v>
      </c>
      <c r="O146" s="14">
        <f>N146*VLOOKUP('Données projet'!$B$9,Paramètres!$A$1:$I$89,3,0)*VLOOKUP('Données projet'!$B$9,Paramètres!$A$1:$I$89,5,0)</f>
        <v>-9.7543306765146564E-14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446.27304516866047</v>
      </c>
      <c r="T146" s="62">
        <f t="shared" si="142"/>
        <v>230.82970731138215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-3.4106051316484809E-13</v>
      </c>
      <c r="AJ146" s="14">
        <f>AI146*VLOOKUP('Données projet'!$B$10,Paramètres!$A$1:$I$89,3,0)*VLOOKUP('Données projet'!$B$10,Paramètres!$A$1:$I$89,5,0)</f>
        <v>-2.7134774427395314E-13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427.78067187784063</v>
      </c>
      <c r="AO146" s="62">
        <f t="shared" si="144"/>
        <v>464.22892523825118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1.7053025658242404E-13</v>
      </c>
      <c r="BE146" s="14">
        <f>BD146*VLOOKUP('Données projet'!$B$11,Paramètres!$A$1:$I$89,3,0)*VLOOKUP('Données projet'!$B$11,Paramètres!$A$1:$I$89,5,0)</f>
        <v>1.3301360013429075E-13</v>
      </c>
      <c r="BF146" s="14">
        <f t="shared" si="145"/>
        <v>1.9329766731057041E-12</v>
      </c>
      <c r="BG146" s="22">
        <f t="shared" si="115"/>
        <v>3.5982663925596575E-12</v>
      </c>
      <c r="BH146" s="62">
        <f t="shared" si="116"/>
        <v>293.3333333333369</v>
      </c>
      <c r="BI146" s="62">
        <f ca="1">AVERAGE(OFFSET($BH$3,0,0,'Données projet'!$E$11+1,1))-AVERAGE(OFFSET($H$3,0,0,'Données projet'!$E$11+1,1))</f>
        <v>312.09994042858187</v>
      </c>
      <c r="BJ146" s="62">
        <f t="shared" si="146"/>
        <v>283.48738729114024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-2.2737367544323206E-13</v>
      </c>
      <c r="BZ146" s="14">
        <f>BY146*VLOOKUP('Données projet'!$B$12,Paramètres!$A$1:$I$89,3,0)*VLOOKUP('Données projet'!$B$12,Paramètres!$A$1:$I$89,5,0)</f>
        <v>-1.8089849618263545E-13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370.79299728190904</v>
      </c>
      <c r="CE146" s="62">
        <f t="shared" si="148"/>
        <v>404.95703400805775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-1.4210854715202004E-13</v>
      </c>
      <c r="CU146" s="18">
        <f>CT146*VLOOKUP('Données projet'!$B$13,Paramètres!$A$1:$I$89,3,0)*VLOOKUP('Données projet'!$B$13,Paramètres!$A$1:$I$89,5,0)</f>
        <v>-1.3523049346986227E-13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351.34897243264044</v>
      </c>
      <c r="CZ146" s="62">
        <f t="shared" si="150"/>
        <v>268.39685058071603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-5.6843418860808015E-14</v>
      </c>
      <c r="DP146" s="18">
        <f>DO146*VLOOKUP('Données projet'!$B$14,Paramètres!$A$1:$I$89,3,0)*VLOOKUP('Données projet'!$B$14,Paramètres!$A$1:$I$89,5,0)</f>
        <v>-3.813056537183002E-14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290.46086333591074</v>
      </c>
      <c r="DU146" s="62">
        <f t="shared" si="152"/>
        <v>236.8495901994267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-1.1368683772161603E-13</v>
      </c>
      <c r="EK146" s="18">
        <f>EJ146*VLOOKUP('Données projet'!$B$15,Paramètres!$A$1:$I$89,3,0)*VLOOKUP('Données projet'!$B$15,Paramètres!$A$1:$I$89,5,0)</f>
        <v>-9.2222762759774927E-14</v>
      </c>
      <c r="EL146" s="14" t="e">
        <f t="shared" si="153"/>
        <v>#NUM!</v>
      </c>
      <c r="EM146" s="22" t="e">
        <f t="shared" si="127"/>
        <v>#NUM!</v>
      </c>
      <c r="EN146" s="62" t="e">
        <f t="shared" si="128"/>
        <v>#NUM!</v>
      </c>
      <c r="EO146" s="62">
        <f ca="1">AVERAGE(OFFSET($EN$3,0,0,'Données projet'!$E$15+1,1))-AVERAGE(OFFSET($H$3,0,0,'Données projet'!$E$15+1,1))</f>
        <v>256.19915261735281</v>
      </c>
      <c r="EP146" s="62">
        <f t="shared" si="154"/>
        <v>297.47246687305056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-1.1368683772161603E-13</v>
      </c>
      <c r="O147" s="14">
        <f>N147*VLOOKUP('Données projet'!$B$9,Paramètres!$A$1:$I$89,3,0)*VLOOKUP('Données projet'!$B$9,Paramètres!$A$1:$I$89,5,0)</f>
        <v>-9.7543306765146564E-14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446.27304516866047</v>
      </c>
      <c r="T147" s="62">
        <f t="shared" si="142"/>
        <v>230.82970731138215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-3.4106051316484809E-13</v>
      </c>
      <c r="AJ147" s="14">
        <f>AI147*VLOOKUP('Données projet'!$B$10,Paramètres!$A$1:$I$89,3,0)*VLOOKUP('Données projet'!$B$10,Paramètres!$A$1:$I$89,5,0)</f>
        <v>-2.7134774427395314E-13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427.78067187784063</v>
      </c>
      <c r="AO147" s="62">
        <f t="shared" si="144"/>
        <v>464.22892523825118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1.7053025658242404E-13</v>
      </c>
      <c r="BE147" s="14">
        <f>BD147*VLOOKUP('Données projet'!$B$11,Paramètres!$A$1:$I$89,3,0)*VLOOKUP('Données projet'!$B$11,Paramètres!$A$1:$I$89,5,0)</f>
        <v>1.3301360013429075E-13</v>
      </c>
      <c r="BF147" s="14">
        <f t="shared" si="145"/>
        <v>1.9329766731057041E-12</v>
      </c>
      <c r="BG147" s="22">
        <f t="shared" si="115"/>
        <v>3.5982663925596575E-12</v>
      </c>
      <c r="BH147" s="62">
        <f t="shared" si="116"/>
        <v>293.3333333333369</v>
      </c>
      <c r="BI147" s="62">
        <f ca="1">AVERAGE(OFFSET($BH$3,0,0,'Données projet'!$E$11+1,1))-AVERAGE(OFFSET($H$3,0,0,'Données projet'!$E$11+1,1))</f>
        <v>312.09994042858187</v>
      </c>
      <c r="BJ147" s="62">
        <f t="shared" si="146"/>
        <v>283.48738729114024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-2.2737367544323206E-13</v>
      </c>
      <c r="BZ147" s="14">
        <f>BY147*VLOOKUP('Données projet'!$B$12,Paramètres!$A$1:$I$89,3,0)*VLOOKUP('Données projet'!$B$12,Paramètres!$A$1:$I$89,5,0)</f>
        <v>-1.8089849618263545E-13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370.79299728190904</v>
      </c>
      <c r="CE147" s="62">
        <f t="shared" si="148"/>
        <v>404.95703400805775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-1.4210854715202004E-13</v>
      </c>
      <c r="CU147" s="18">
        <f>CT147*VLOOKUP('Données projet'!$B$13,Paramètres!$A$1:$I$89,3,0)*VLOOKUP('Données projet'!$B$13,Paramètres!$A$1:$I$89,5,0)</f>
        <v>-1.3523049346986227E-13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351.34897243264044</v>
      </c>
      <c r="CZ147" s="62">
        <f t="shared" si="150"/>
        <v>268.39685058071603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-5.6843418860808015E-14</v>
      </c>
      <c r="DP147" s="18">
        <f>DO147*VLOOKUP('Données projet'!$B$14,Paramètres!$A$1:$I$89,3,0)*VLOOKUP('Données projet'!$B$14,Paramètres!$A$1:$I$89,5,0)</f>
        <v>-3.813056537183002E-14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290.46086333591074</v>
      </c>
      <c r="DU147" s="62">
        <f t="shared" si="152"/>
        <v>236.8495901994267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-1.1368683772161603E-13</v>
      </c>
      <c r="EK147" s="18">
        <f>EJ147*VLOOKUP('Données projet'!$B$15,Paramètres!$A$1:$I$89,3,0)*VLOOKUP('Données projet'!$B$15,Paramètres!$A$1:$I$89,5,0)</f>
        <v>-9.2222762759774927E-14</v>
      </c>
      <c r="EL147" s="14" t="e">
        <f t="shared" si="153"/>
        <v>#NUM!</v>
      </c>
      <c r="EM147" s="22" t="e">
        <f t="shared" si="127"/>
        <v>#NUM!</v>
      </c>
      <c r="EN147" s="62" t="e">
        <f t="shared" si="128"/>
        <v>#NUM!</v>
      </c>
      <c r="EO147" s="62">
        <f ca="1">AVERAGE(OFFSET($EN$3,0,0,'Données projet'!$E$15+1,1))-AVERAGE(OFFSET($H$3,0,0,'Données projet'!$E$15+1,1))</f>
        <v>256.19915261735281</v>
      </c>
      <c r="EP147" s="62">
        <f t="shared" si="154"/>
        <v>297.47246687305056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-1.1368683772161603E-13</v>
      </c>
      <c r="O148" s="14">
        <f>N148*VLOOKUP('Données projet'!$B$9,Paramètres!$A$1:$I$89,3,0)*VLOOKUP('Données projet'!$B$9,Paramètres!$A$1:$I$89,5,0)</f>
        <v>-9.7543306765146564E-14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446.27304516866047</v>
      </c>
      <c r="T148" s="62">
        <f t="shared" si="142"/>
        <v>230.82970731138215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-3.4106051316484809E-13</v>
      </c>
      <c r="AJ148" s="14">
        <f>AI148*VLOOKUP('Données projet'!$B$10,Paramètres!$A$1:$I$89,3,0)*VLOOKUP('Données projet'!$B$10,Paramètres!$A$1:$I$89,5,0)</f>
        <v>-2.7134774427395314E-13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427.78067187784063</v>
      </c>
      <c r="AO148" s="62">
        <f t="shared" si="144"/>
        <v>464.22892523825118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1.7053025658242404E-13</v>
      </c>
      <c r="BE148" s="14">
        <f>BD148*VLOOKUP('Données projet'!$B$11,Paramètres!$A$1:$I$89,3,0)*VLOOKUP('Données projet'!$B$11,Paramètres!$A$1:$I$89,5,0)</f>
        <v>1.3301360013429075E-13</v>
      </c>
      <c r="BF148" s="14">
        <f t="shared" si="145"/>
        <v>1.9329766731057041E-12</v>
      </c>
      <c r="BG148" s="22">
        <f t="shared" si="115"/>
        <v>3.5982663925596575E-12</v>
      </c>
      <c r="BH148" s="62">
        <f t="shared" si="116"/>
        <v>293.3333333333369</v>
      </c>
      <c r="BI148" s="62">
        <f ca="1">AVERAGE(OFFSET($BH$3,0,0,'Données projet'!$E$11+1,1))-AVERAGE(OFFSET($H$3,0,0,'Données projet'!$E$11+1,1))</f>
        <v>312.09994042858187</v>
      </c>
      <c r="BJ148" s="62">
        <f t="shared" si="146"/>
        <v>283.48738729114024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-2.2737367544323206E-13</v>
      </c>
      <c r="BZ148" s="14">
        <f>BY148*VLOOKUP('Données projet'!$B$12,Paramètres!$A$1:$I$89,3,0)*VLOOKUP('Données projet'!$B$12,Paramètres!$A$1:$I$89,5,0)</f>
        <v>-1.8089849618263545E-13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370.79299728190904</v>
      </c>
      <c r="CE148" s="62">
        <f t="shared" si="148"/>
        <v>404.95703400805775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-1.4210854715202004E-13</v>
      </c>
      <c r="CU148" s="18">
        <f>CT148*VLOOKUP('Données projet'!$B$13,Paramètres!$A$1:$I$89,3,0)*VLOOKUP('Données projet'!$B$13,Paramètres!$A$1:$I$89,5,0)</f>
        <v>-1.3523049346986227E-13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351.34897243264044</v>
      </c>
      <c r="CZ148" s="62">
        <f t="shared" si="150"/>
        <v>268.39685058071603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-5.6843418860808015E-14</v>
      </c>
      <c r="DP148" s="18">
        <f>DO148*VLOOKUP('Données projet'!$B$14,Paramètres!$A$1:$I$89,3,0)*VLOOKUP('Données projet'!$B$14,Paramètres!$A$1:$I$89,5,0)</f>
        <v>-3.813056537183002E-14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290.46086333591074</v>
      </c>
      <c r="DU148" s="62">
        <f t="shared" si="152"/>
        <v>236.8495901994267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-1.1368683772161603E-13</v>
      </c>
      <c r="EK148" s="18">
        <f>EJ148*VLOOKUP('Données projet'!$B$15,Paramètres!$A$1:$I$89,3,0)*VLOOKUP('Données projet'!$B$15,Paramètres!$A$1:$I$89,5,0)</f>
        <v>-9.2222762759774927E-14</v>
      </c>
      <c r="EL148" s="14" t="e">
        <f t="shared" si="153"/>
        <v>#NUM!</v>
      </c>
      <c r="EM148" s="22" t="e">
        <f t="shared" si="127"/>
        <v>#NUM!</v>
      </c>
      <c r="EN148" s="62" t="e">
        <f t="shared" si="128"/>
        <v>#NUM!</v>
      </c>
      <c r="EO148" s="62">
        <f ca="1">AVERAGE(OFFSET($EN$3,0,0,'Données projet'!$E$15+1,1))-AVERAGE(OFFSET($H$3,0,0,'Données projet'!$E$15+1,1))</f>
        <v>256.19915261735281</v>
      </c>
      <c r="EP148" s="62">
        <f t="shared" si="154"/>
        <v>297.47246687305056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-1.1368683772161603E-13</v>
      </c>
      <c r="O149" s="14">
        <f>N149*VLOOKUP('Données projet'!$B$9,Paramètres!$A$1:$I$89,3,0)*VLOOKUP('Données projet'!$B$9,Paramètres!$A$1:$I$89,5,0)</f>
        <v>-9.7543306765146564E-14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446.27304516866047</v>
      </c>
      <c r="T149" s="62">
        <f t="shared" si="142"/>
        <v>230.82970731138215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-3.4106051316484809E-13</v>
      </c>
      <c r="AJ149" s="14">
        <f>AI149*VLOOKUP('Données projet'!$B$10,Paramètres!$A$1:$I$89,3,0)*VLOOKUP('Données projet'!$B$10,Paramètres!$A$1:$I$89,5,0)</f>
        <v>-2.7134774427395314E-13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427.78067187784063</v>
      </c>
      <c r="AO149" s="62">
        <f t="shared" si="144"/>
        <v>464.22892523825118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1.7053025658242404E-13</v>
      </c>
      <c r="BE149" s="14">
        <f>BD149*VLOOKUP('Données projet'!$B$11,Paramètres!$A$1:$I$89,3,0)*VLOOKUP('Données projet'!$B$11,Paramètres!$A$1:$I$89,5,0)</f>
        <v>1.3301360013429075E-13</v>
      </c>
      <c r="BF149" s="14">
        <f t="shared" si="145"/>
        <v>1.9329766731057041E-12</v>
      </c>
      <c r="BG149" s="22">
        <f t="shared" si="115"/>
        <v>3.5982663925596575E-12</v>
      </c>
      <c r="BH149" s="62">
        <f t="shared" si="116"/>
        <v>293.3333333333369</v>
      </c>
      <c r="BI149" s="62">
        <f ca="1">AVERAGE(OFFSET($BH$3,0,0,'Données projet'!$E$11+1,1))-AVERAGE(OFFSET($H$3,0,0,'Données projet'!$E$11+1,1))</f>
        <v>312.09994042858187</v>
      </c>
      <c r="BJ149" s="62">
        <f t="shared" si="146"/>
        <v>283.48738729114024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-2.2737367544323206E-13</v>
      </c>
      <c r="BZ149" s="14">
        <f>BY149*VLOOKUP('Données projet'!$B$12,Paramètres!$A$1:$I$89,3,0)*VLOOKUP('Données projet'!$B$12,Paramètres!$A$1:$I$89,5,0)</f>
        <v>-1.8089849618263545E-13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370.79299728190904</v>
      </c>
      <c r="CE149" s="62">
        <f t="shared" si="148"/>
        <v>404.95703400805775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-1.4210854715202004E-13</v>
      </c>
      <c r="CU149" s="18">
        <f>CT149*VLOOKUP('Données projet'!$B$13,Paramètres!$A$1:$I$89,3,0)*VLOOKUP('Données projet'!$B$13,Paramètres!$A$1:$I$89,5,0)</f>
        <v>-1.3523049346986227E-13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351.34897243264044</v>
      </c>
      <c r="CZ149" s="62">
        <f t="shared" si="150"/>
        <v>268.39685058071603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-5.6843418860808015E-14</v>
      </c>
      <c r="DP149" s="18">
        <f>DO149*VLOOKUP('Données projet'!$B$14,Paramètres!$A$1:$I$89,3,0)*VLOOKUP('Données projet'!$B$14,Paramètres!$A$1:$I$89,5,0)</f>
        <v>-3.813056537183002E-14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290.46086333591074</v>
      </c>
      <c r="DU149" s="62">
        <f t="shared" si="152"/>
        <v>236.8495901994267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-1.1368683772161603E-13</v>
      </c>
      <c r="EK149" s="18">
        <f>EJ149*VLOOKUP('Données projet'!$B$15,Paramètres!$A$1:$I$89,3,0)*VLOOKUP('Données projet'!$B$15,Paramètres!$A$1:$I$89,5,0)</f>
        <v>-9.2222762759774927E-14</v>
      </c>
      <c r="EL149" s="14" t="e">
        <f t="shared" si="153"/>
        <v>#NUM!</v>
      </c>
      <c r="EM149" s="22" t="e">
        <f t="shared" si="127"/>
        <v>#NUM!</v>
      </c>
      <c r="EN149" s="62" t="e">
        <f t="shared" si="128"/>
        <v>#NUM!</v>
      </c>
      <c r="EO149" s="62">
        <f ca="1">AVERAGE(OFFSET($EN$3,0,0,'Données projet'!$E$15+1,1))-AVERAGE(OFFSET($H$3,0,0,'Données projet'!$E$15+1,1))</f>
        <v>256.19915261735281</v>
      </c>
      <c r="EP149" s="62">
        <f t="shared" si="154"/>
        <v>297.47246687305056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-1.1368683772161603E-13</v>
      </c>
      <c r="O150" s="14">
        <f>N150*VLOOKUP('Données projet'!$B$9,Paramètres!$A$1:$I$89,3,0)*VLOOKUP('Données projet'!$B$9,Paramètres!$A$1:$I$89,5,0)</f>
        <v>-9.7543306765146564E-14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446.27304516866047</v>
      </c>
      <c r="T150" s="62">
        <f t="shared" si="142"/>
        <v>230.82970731138215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-3.4106051316484809E-13</v>
      </c>
      <c r="AJ150" s="14">
        <f>AI150*VLOOKUP('Données projet'!$B$10,Paramètres!$A$1:$I$89,3,0)*VLOOKUP('Données projet'!$B$10,Paramètres!$A$1:$I$89,5,0)</f>
        <v>-2.7134774427395314E-13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427.78067187784063</v>
      </c>
      <c r="AO150" s="62">
        <f t="shared" si="144"/>
        <v>464.22892523825118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1.7053025658242404E-13</v>
      </c>
      <c r="BE150" s="14">
        <f>BD150*VLOOKUP('Données projet'!$B$11,Paramètres!$A$1:$I$89,3,0)*VLOOKUP('Données projet'!$B$11,Paramètres!$A$1:$I$89,5,0)</f>
        <v>1.3301360013429075E-13</v>
      </c>
      <c r="BF150" s="14">
        <f t="shared" si="145"/>
        <v>1.9329766731057041E-12</v>
      </c>
      <c r="BG150" s="22">
        <f t="shared" si="115"/>
        <v>3.5982663925596575E-12</v>
      </c>
      <c r="BH150" s="62">
        <f t="shared" si="116"/>
        <v>293.3333333333369</v>
      </c>
      <c r="BI150" s="62">
        <f ca="1">AVERAGE(OFFSET($BH$3,0,0,'Données projet'!$E$11+1,1))-AVERAGE(OFFSET($H$3,0,0,'Données projet'!$E$11+1,1))</f>
        <v>312.09994042858187</v>
      </c>
      <c r="BJ150" s="62">
        <f t="shared" si="146"/>
        <v>283.48738729114024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-2.2737367544323206E-13</v>
      </c>
      <c r="BZ150" s="14">
        <f>BY150*VLOOKUP('Données projet'!$B$12,Paramètres!$A$1:$I$89,3,0)*VLOOKUP('Données projet'!$B$12,Paramètres!$A$1:$I$89,5,0)</f>
        <v>-1.8089849618263545E-13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370.79299728190904</v>
      </c>
      <c r="CE150" s="62">
        <f t="shared" si="148"/>
        <v>404.95703400805775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-1.4210854715202004E-13</v>
      </c>
      <c r="CU150" s="18">
        <f>CT150*VLOOKUP('Données projet'!$B$13,Paramètres!$A$1:$I$89,3,0)*VLOOKUP('Données projet'!$B$13,Paramètres!$A$1:$I$89,5,0)</f>
        <v>-1.3523049346986227E-13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351.34897243264044</v>
      </c>
      <c r="CZ150" s="62">
        <f t="shared" si="150"/>
        <v>268.39685058071603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-5.6843418860808015E-14</v>
      </c>
      <c r="DP150" s="18">
        <f>DO150*VLOOKUP('Données projet'!$B$14,Paramètres!$A$1:$I$89,3,0)*VLOOKUP('Données projet'!$B$14,Paramètres!$A$1:$I$89,5,0)</f>
        <v>-3.813056537183002E-14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290.46086333591074</v>
      </c>
      <c r="DU150" s="62">
        <f t="shared" si="152"/>
        <v>236.8495901994267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-1.1368683772161603E-13</v>
      </c>
      <c r="EK150" s="18">
        <f>EJ150*VLOOKUP('Données projet'!$B$15,Paramètres!$A$1:$I$89,3,0)*VLOOKUP('Données projet'!$B$15,Paramètres!$A$1:$I$89,5,0)</f>
        <v>-9.2222762759774927E-14</v>
      </c>
      <c r="EL150" s="14" t="e">
        <f t="shared" si="153"/>
        <v>#NUM!</v>
      </c>
      <c r="EM150" s="22" t="e">
        <f t="shared" si="127"/>
        <v>#NUM!</v>
      </c>
      <c r="EN150" s="62" t="e">
        <f t="shared" si="128"/>
        <v>#NUM!</v>
      </c>
      <c r="EO150" s="62">
        <f ca="1">AVERAGE(OFFSET($EN$3,0,0,'Données projet'!$E$15+1,1))-AVERAGE(OFFSET($H$3,0,0,'Données projet'!$E$15+1,1))</f>
        <v>256.19915261735281</v>
      </c>
      <c r="EP150" s="62">
        <f t="shared" si="154"/>
        <v>297.47246687305056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-1.1368683772161603E-13</v>
      </c>
      <c r="O151" s="14">
        <f>N151*VLOOKUP('Données projet'!$B$9,Paramètres!$A$1:$I$89,3,0)*VLOOKUP('Données projet'!$B$9,Paramètres!$A$1:$I$89,5,0)</f>
        <v>-9.7543306765146564E-14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446.27304516866047</v>
      </c>
      <c r="T151" s="62">
        <f t="shared" si="142"/>
        <v>230.82970731138215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-3.4106051316484809E-13</v>
      </c>
      <c r="AJ151" s="14">
        <f>AI151*VLOOKUP('Données projet'!$B$10,Paramètres!$A$1:$I$89,3,0)*VLOOKUP('Données projet'!$B$10,Paramètres!$A$1:$I$89,5,0)</f>
        <v>-2.7134774427395314E-13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427.78067187784063</v>
      </c>
      <c r="AO151" s="62">
        <f t="shared" si="144"/>
        <v>464.22892523825118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1.7053025658242404E-13</v>
      </c>
      <c r="BE151" s="14">
        <f>BD151*VLOOKUP('Données projet'!$B$11,Paramètres!$A$1:$I$89,3,0)*VLOOKUP('Données projet'!$B$11,Paramètres!$A$1:$I$89,5,0)</f>
        <v>1.3301360013429075E-13</v>
      </c>
      <c r="BF151" s="14">
        <f t="shared" si="145"/>
        <v>1.9329766731057041E-12</v>
      </c>
      <c r="BG151" s="22">
        <f t="shared" si="115"/>
        <v>3.5982663925596575E-12</v>
      </c>
      <c r="BH151" s="62">
        <f t="shared" si="116"/>
        <v>293.3333333333369</v>
      </c>
      <c r="BI151" s="62">
        <f ca="1">AVERAGE(OFFSET($BH$3,0,0,'Données projet'!$E$11+1,1))-AVERAGE(OFFSET($H$3,0,0,'Données projet'!$E$11+1,1))</f>
        <v>312.09994042858187</v>
      </c>
      <c r="BJ151" s="62">
        <f t="shared" si="146"/>
        <v>283.48738729114024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-2.2737367544323206E-13</v>
      </c>
      <c r="BZ151" s="14">
        <f>BY151*VLOOKUP('Données projet'!$B$12,Paramètres!$A$1:$I$89,3,0)*VLOOKUP('Données projet'!$B$12,Paramètres!$A$1:$I$89,5,0)</f>
        <v>-1.8089849618263545E-13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370.79299728190904</v>
      </c>
      <c r="CE151" s="62">
        <f t="shared" si="148"/>
        <v>404.95703400805775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-1.4210854715202004E-13</v>
      </c>
      <c r="CU151" s="18">
        <f>CT151*VLOOKUP('Données projet'!$B$13,Paramètres!$A$1:$I$89,3,0)*VLOOKUP('Données projet'!$B$13,Paramètres!$A$1:$I$89,5,0)</f>
        <v>-1.3523049346986227E-13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351.34897243264044</v>
      </c>
      <c r="CZ151" s="62">
        <f t="shared" si="150"/>
        <v>268.39685058071603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-5.6843418860808015E-14</v>
      </c>
      <c r="DP151" s="18">
        <f>DO151*VLOOKUP('Données projet'!$B$14,Paramètres!$A$1:$I$89,3,0)*VLOOKUP('Données projet'!$B$14,Paramètres!$A$1:$I$89,5,0)</f>
        <v>-3.813056537183002E-14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290.46086333591074</v>
      </c>
      <c r="DU151" s="62">
        <f t="shared" si="152"/>
        <v>236.8495901994267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-1.1368683772161603E-13</v>
      </c>
      <c r="EK151" s="18">
        <f>EJ151*VLOOKUP('Données projet'!$B$15,Paramètres!$A$1:$I$89,3,0)*VLOOKUP('Données projet'!$B$15,Paramètres!$A$1:$I$89,5,0)</f>
        <v>-9.2222762759774927E-14</v>
      </c>
      <c r="EL151" s="14" t="e">
        <f t="shared" si="153"/>
        <v>#NUM!</v>
      </c>
      <c r="EM151" s="22" t="e">
        <f t="shared" si="127"/>
        <v>#NUM!</v>
      </c>
      <c r="EN151" s="62" t="e">
        <f t="shared" si="128"/>
        <v>#NUM!</v>
      </c>
      <c r="EO151" s="62">
        <f ca="1">AVERAGE(OFFSET($EN$3,0,0,'Données projet'!$E$15+1,1))-AVERAGE(OFFSET($H$3,0,0,'Données projet'!$E$15+1,1))</f>
        <v>256.19915261735281</v>
      </c>
      <c r="EP151" s="62">
        <f t="shared" si="154"/>
        <v>297.47246687305056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-1.1368683772161603E-13</v>
      </c>
      <c r="O152" s="14">
        <f>N152*VLOOKUP('Données projet'!$B$9,Paramètres!$A$1:$I$89,3,0)*VLOOKUP('Données projet'!$B$9,Paramètres!$A$1:$I$89,5,0)</f>
        <v>-9.7543306765146564E-14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446.27304516866047</v>
      </c>
      <c r="T152" s="62">
        <f t="shared" si="142"/>
        <v>230.82970731138215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-3.4106051316484809E-13</v>
      </c>
      <c r="AJ152" s="14">
        <f>AI152*VLOOKUP('Données projet'!$B$10,Paramètres!$A$1:$I$89,3,0)*VLOOKUP('Données projet'!$B$10,Paramètres!$A$1:$I$89,5,0)</f>
        <v>-2.7134774427395314E-13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427.78067187784063</v>
      </c>
      <c r="AO152" s="62">
        <f t="shared" si="144"/>
        <v>464.22892523825118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1.7053025658242404E-13</v>
      </c>
      <c r="BE152" s="14">
        <f>BD152*VLOOKUP('Données projet'!$B$11,Paramètres!$A$1:$I$89,3,0)*VLOOKUP('Données projet'!$B$11,Paramètres!$A$1:$I$89,5,0)</f>
        <v>1.3301360013429075E-13</v>
      </c>
      <c r="BF152" s="14">
        <f t="shared" si="145"/>
        <v>1.9329766731057041E-12</v>
      </c>
      <c r="BG152" s="22">
        <f t="shared" si="115"/>
        <v>3.5982663925596575E-12</v>
      </c>
      <c r="BH152" s="62">
        <f t="shared" si="116"/>
        <v>293.3333333333369</v>
      </c>
      <c r="BI152" s="62">
        <f ca="1">AVERAGE(OFFSET($BH$3,0,0,'Données projet'!$E$11+1,1))-AVERAGE(OFFSET($H$3,0,0,'Données projet'!$E$11+1,1))</f>
        <v>312.09994042858187</v>
      </c>
      <c r="BJ152" s="62">
        <f t="shared" si="146"/>
        <v>283.48738729114024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-2.2737367544323206E-13</v>
      </c>
      <c r="BZ152" s="14">
        <f>BY152*VLOOKUP('Données projet'!$B$12,Paramètres!$A$1:$I$89,3,0)*VLOOKUP('Données projet'!$B$12,Paramètres!$A$1:$I$89,5,0)</f>
        <v>-1.8089849618263545E-13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370.79299728190904</v>
      </c>
      <c r="CE152" s="62">
        <f t="shared" si="148"/>
        <v>404.95703400805775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-1.4210854715202004E-13</v>
      </c>
      <c r="CU152" s="18">
        <f>CT152*VLOOKUP('Données projet'!$B$13,Paramètres!$A$1:$I$89,3,0)*VLOOKUP('Données projet'!$B$13,Paramètres!$A$1:$I$89,5,0)</f>
        <v>-1.3523049346986227E-13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351.34897243264044</v>
      </c>
      <c r="CZ152" s="62">
        <f t="shared" si="150"/>
        <v>268.39685058071603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-5.6843418860808015E-14</v>
      </c>
      <c r="DP152" s="18">
        <f>DO152*VLOOKUP('Données projet'!$B$14,Paramètres!$A$1:$I$89,3,0)*VLOOKUP('Données projet'!$B$14,Paramètres!$A$1:$I$89,5,0)</f>
        <v>-3.813056537183002E-14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290.46086333591074</v>
      </c>
      <c r="DU152" s="62">
        <f t="shared" si="152"/>
        <v>236.8495901994267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-1.1368683772161603E-13</v>
      </c>
      <c r="EK152" s="18">
        <f>EJ152*VLOOKUP('Données projet'!$B$15,Paramètres!$A$1:$I$89,3,0)*VLOOKUP('Données projet'!$B$15,Paramètres!$A$1:$I$89,5,0)</f>
        <v>-9.2222762759774927E-14</v>
      </c>
      <c r="EL152" s="14" t="e">
        <f t="shared" si="153"/>
        <v>#NUM!</v>
      </c>
      <c r="EM152" s="22" t="e">
        <f t="shared" si="127"/>
        <v>#NUM!</v>
      </c>
      <c r="EN152" s="62" t="e">
        <f t="shared" si="128"/>
        <v>#NUM!</v>
      </c>
      <c r="EO152" s="62">
        <f ca="1">AVERAGE(OFFSET($EN$3,0,0,'Données projet'!$E$15+1,1))-AVERAGE(OFFSET($H$3,0,0,'Données projet'!$E$15+1,1))</f>
        <v>256.19915261735281</v>
      </c>
      <c r="EP152" s="62">
        <f t="shared" si="154"/>
        <v>297.47246687305056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-1.1368683772161603E-13</v>
      </c>
      <c r="O153" s="14">
        <f>N153*VLOOKUP('Données projet'!$B$9,Paramètres!$A$1:$I$89,3,0)*VLOOKUP('Données projet'!$B$9,Paramètres!$A$1:$I$89,5,0)</f>
        <v>-9.7543306765146564E-14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446.27304516866047</v>
      </c>
      <c r="T153" s="62">
        <f t="shared" si="142"/>
        <v>230.82970731138215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-3.4106051316484809E-13</v>
      </c>
      <c r="AJ153" s="14">
        <f>AI153*VLOOKUP('Données projet'!$B$10,Paramètres!$A$1:$I$89,3,0)*VLOOKUP('Données projet'!$B$10,Paramètres!$A$1:$I$89,5,0)</f>
        <v>-2.7134774427395314E-13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427.78067187784063</v>
      </c>
      <c r="AO153" s="62">
        <f t="shared" si="144"/>
        <v>464.22892523825118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1.7053025658242404E-13</v>
      </c>
      <c r="BE153" s="14">
        <f>BD153*VLOOKUP('Données projet'!$B$11,Paramètres!$A$1:$I$89,3,0)*VLOOKUP('Données projet'!$B$11,Paramètres!$A$1:$I$89,5,0)</f>
        <v>1.3301360013429075E-13</v>
      </c>
      <c r="BF153" s="14">
        <f t="shared" si="145"/>
        <v>1.9329766731057041E-12</v>
      </c>
      <c r="BG153" s="22">
        <f t="shared" si="115"/>
        <v>3.5982663925596575E-12</v>
      </c>
      <c r="BH153" s="62">
        <f t="shared" si="116"/>
        <v>293.3333333333369</v>
      </c>
      <c r="BI153" s="62">
        <f ca="1">AVERAGE(OFFSET($BH$3,0,0,'Données projet'!$E$11+1,1))-AVERAGE(OFFSET($H$3,0,0,'Données projet'!$E$11+1,1))</f>
        <v>312.09994042858187</v>
      </c>
      <c r="BJ153" s="62">
        <f t="shared" si="146"/>
        <v>283.48738729114024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-2.2737367544323206E-13</v>
      </c>
      <c r="BZ153" s="14">
        <f>BY153*VLOOKUP('Données projet'!$B$12,Paramètres!$A$1:$I$89,3,0)*VLOOKUP('Données projet'!$B$12,Paramètres!$A$1:$I$89,5,0)</f>
        <v>-1.8089849618263545E-13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370.79299728190904</v>
      </c>
      <c r="CE153" s="62">
        <f t="shared" si="148"/>
        <v>404.95703400805775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-1.4210854715202004E-13</v>
      </c>
      <c r="CU153" s="18">
        <f>CT153*VLOOKUP('Données projet'!$B$13,Paramètres!$A$1:$I$89,3,0)*VLOOKUP('Données projet'!$B$13,Paramètres!$A$1:$I$89,5,0)</f>
        <v>-1.3523049346986227E-13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351.34897243264044</v>
      </c>
      <c r="CZ153" s="62">
        <f t="shared" si="150"/>
        <v>268.39685058071603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-5.6843418860808015E-14</v>
      </c>
      <c r="DP153" s="18">
        <f>DO153*VLOOKUP('Données projet'!$B$14,Paramètres!$A$1:$I$89,3,0)*VLOOKUP('Données projet'!$B$14,Paramètres!$A$1:$I$89,5,0)</f>
        <v>-3.813056537183002E-14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290.46086333591074</v>
      </c>
      <c r="DU153" s="62">
        <f t="shared" si="152"/>
        <v>236.8495901994267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-1.1368683772161603E-13</v>
      </c>
      <c r="EK153" s="18">
        <f>EJ153*VLOOKUP('Données projet'!$B$15,Paramètres!$A$1:$I$89,3,0)*VLOOKUP('Données projet'!$B$15,Paramètres!$A$1:$I$89,5,0)</f>
        <v>-9.2222762759774927E-14</v>
      </c>
      <c r="EL153" s="14" t="e">
        <f t="shared" si="153"/>
        <v>#NUM!</v>
      </c>
      <c r="EM153" s="22" t="e">
        <f t="shared" si="127"/>
        <v>#NUM!</v>
      </c>
      <c r="EN153" s="62" t="e">
        <f t="shared" si="128"/>
        <v>#NUM!</v>
      </c>
      <c r="EO153" s="62">
        <f ca="1">AVERAGE(OFFSET($EN$3,0,0,'Données projet'!$E$15+1,1))-AVERAGE(OFFSET($H$3,0,0,'Données projet'!$E$15+1,1))</f>
        <v>256.19915261735281</v>
      </c>
      <c r="EP153" s="62">
        <f t="shared" si="154"/>
        <v>297.47246687305056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-1.1368683772161603E-13</v>
      </c>
      <c r="O154" s="14">
        <f>N154*VLOOKUP('Données projet'!$B$9,Paramètres!$A$1:$I$89,3,0)*VLOOKUP('Données projet'!$B$9,Paramètres!$A$1:$I$89,5,0)</f>
        <v>-9.7543306765146564E-14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446.27304516866047</v>
      </c>
      <c r="T154" s="62">
        <f t="shared" si="142"/>
        <v>230.82970731138215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-3.4106051316484809E-13</v>
      </c>
      <c r="AJ154" s="14">
        <f>AI154*VLOOKUP('Données projet'!$B$10,Paramètres!$A$1:$I$89,3,0)*VLOOKUP('Données projet'!$B$10,Paramètres!$A$1:$I$89,5,0)</f>
        <v>-2.7134774427395314E-13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427.78067187784063</v>
      </c>
      <c r="AO154" s="62">
        <f t="shared" si="144"/>
        <v>464.22892523825118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1.7053025658242404E-13</v>
      </c>
      <c r="BE154" s="14">
        <f>BD154*VLOOKUP('Données projet'!$B$11,Paramètres!$A$1:$I$89,3,0)*VLOOKUP('Données projet'!$B$11,Paramètres!$A$1:$I$89,5,0)</f>
        <v>1.3301360013429075E-13</v>
      </c>
      <c r="BF154" s="14">
        <f t="shared" ref="BF154:BF203" si="167">EXP(-1.0587+0.8836*LN(BE154)+0.284)</f>
        <v>1.9329766731057041E-12</v>
      </c>
      <c r="BG154" s="22">
        <f t="shared" ref="BG154:BG203" si="168">(BE154+BF154)*0.475*44/12</f>
        <v>3.5982663925596575E-12</v>
      </c>
      <c r="BH154" s="62">
        <f t="shared" si="116"/>
        <v>293.3333333333369</v>
      </c>
      <c r="BI154" s="62">
        <f ca="1">AVERAGE(OFFSET($BH$3,0,0,'Données projet'!$E$11+1,1))-AVERAGE(OFFSET($H$3,0,0,'Données projet'!$E$11+1,1))</f>
        <v>312.09994042858187</v>
      </c>
      <c r="BJ154" s="62">
        <f t="shared" si="146"/>
        <v>283.48738729114024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-2.2737367544323206E-13</v>
      </c>
      <c r="BZ154" s="14">
        <f>BY154*VLOOKUP('Données projet'!$B$12,Paramètres!$A$1:$I$89,3,0)*VLOOKUP('Données projet'!$B$12,Paramètres!$A$1:$I$89,5,0)</f>
        <v>-1.8089849618263545E-13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370.79299728190904</v>
      </c>
      <c r="CE154" s="62">
        <f t="shared" si="148"/>
        <v>404.95703400805775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-1.4210854715202004E-13</v>
      </c>
      <c r="CU154" s="18">
        <f>CT154*VLOOKUP('Données projet'!$B$13,Paramètres!$A$1:$I$89,3,0)*VLOOKUP('Données projet'!$B$13,Paramètres!$A$1:$I$89,5,0)</f>
        <v>-1.3523049346986227E-13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351.34897243264044</v>
      </c>
      <c r="CZ154" s="62">
        <f t="shared" si="150"/>
        <v>268.39685058071603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-5.6843418860808015E-14</v>
      </c>
      <c r="DP154" s="18">
        <f>DO154*VLOOKUP('Données projet'!$B$14,Paramètres!$A$1:$I$89,3,0)*VLOOKUP('Données projet'!$B$14,Paramètres!$A$1:$I$89,5,0)</f>
        <v>-3.813056537183002E-14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290.46086333591074</v>
      </c>
      <c r="DU154" s="62">
        <f t="shared" si="152"/>
        <v>236.8495901994267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-1.1368683772161603E-13</v>
      </c>
      <c r="EK154" s="18">
        <f>EJ154*VLOOKUP('Données projet'!$B$15,Paramètres!$A$1:$I$89,3,0)*VLOOKUP('Données projet'!$B$15,Paramètres!$A$1:$I$89,5,0)</f>
        <v>-9.2222762759774927E-14</v>
      </c>
      <c r="EL154" s="14" t="e">
        <f t="shared" ref="EL154:EL203" si="179">EXP(-1.0587+0.8836*LN(EK154)+0.284)</f>
        <v>#NUM!</v>
      </c>
      <c r="EM154" s="22" t="e">
        <f t="shared" ref="EM154:EM203" si="180">(EK154+EL154)*0.475*44/12</f>
        <v>#NUM!</v>
      </c>
      <c r="EN154" s="62" t="e">
        <f t="shared" si="128"/>
        <v>#NUM!</v>
      </c>
      <c r="EO154" s="62">
        <f ca="1">AVERAGE(OFFSET($EN$3,0,0,'Données projet'!$E$15+1,1))-AVERAGE(OFFSET($H$3,0,0,'Données projet'!$E$15+1,1))</f>
        <v>256.19915261735281</v>
      </c>
      <c r="EP154" s="62">
        <f t="shared" si="154"/>
        <v>297.47246687305056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-1.1368683772161603E-13</v>
      </c>
      <c r="O155" s="14">
        <f>N155*VLOOKUP('Données projet'!$B$9,Paramètres!$A$1:$I$89,3,0)*VLOOKUP('Données projet'!$B$9,Paramètres!$A$1:$I$89,5,0)</f>
        <v>-9.7543306765146564E-14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446.27304516866047</v>
      </c>
      <c r="T155" s="62">
        <f t="shared" si="142"/>
        <v>230.82970731138215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-3.4106051316484809E-13</v>
      </c>
      <c r="AJ155" s="14">
        <f>AI155*VLOOKUP('Données projet'!$B$10,Paramètres!$A$1:$I$89,3,0)*VLOOKUP('Données projet'!$B$10,Paramètres!$A$1:$I$89,5,0)</f>
        <v>-2.7134774427395314E-13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427.78067187784063</v>
      </c>
      <c r="AO155" s="62">
        <f t="shared" si="144"/>
        <v>464.22892523825118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1.7053025658242404E-13</v>
      </c>
      <c r="BE155" s="14">
        <f>BD155*VLOOKUP('Données projet'!$B$11,Paramètres!$A$1:$I$89,3,0)*VLOOKUP('Données projet'!$B$11,Paramètres!$A$1:$I$89,5,0)</f>
        <v>1.3301360013429075E-13</v>
      </c>
      <c r="BF155" s="14">
        <f t="shared" si="167"/>
        <v>1.9329766731057041E-12</v>
      </c>
      <c r="BG155" s="22">
        <f t="shared" si="168"/>
        <v>3.5982663925596575E-12</v>
      </c>
      <c r="BH155" s="62">
        <f t="shared" si="116"/>
        <v>293.3333333333369</v>
      </c>
      <c r="BI155" s="62">
        <f ca="1">AVERAGE(OFFSET($BH$3,0,0,'Données projet'!$E$11+1,1))-AVERAGE(OFFSET($H$3,0,0,'Données projet'!$E$11+1,1))</f>
        <v>312.09994042858187</v>
      </c>
      <c r="BJ155" s="62">
        <f t="shared" si="146"/>
        <v>283.48738729114024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-2.2737367544323206E-13</v>
      </c>
      <c r="BZ155" s="14">
        <f>BY155*VLOOKUP('Données projet'!$B$12,Paramètres!$A$1:$I$89,3,0)*VLOOKUP('Données projet'!$B$12,Paramètres!$A$1:$I$89,5,0)</f>
        <v>-1.8089849618263545E-13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370.79299728190904</v>
      </c>
      <c r="CE155" s="62">
        <f t="shared" si="148"/>
        <v>404.95703400805775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-1.4210854715202004E-13</v>
      </c>
      <c r="CU155" s="18">
        <f>CT155*VLOOKUP('Données projet'!$B$13,Paramètres!$A$1:$I$89,3,0)*VLOOKUP('Données projet'!$B$13,Paramètres!$A$1:$I$89,5,0)</f>
        <v>-1.3523049346986227E-13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351.34897243264044</v>
      </c>
      <c r="CZ155" s="62">
        <f t="shared" si="150"/>
        <v>268.39685058071603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-5.6843418860808015E-14</v>
      </c>
      <c r="DP155" s="18">
        <f>DO155*VLOOKUP('Données projet'!$B$14,Paramètres!$A$1:$I$89,3,0)*VLOOKUP('Données projet'!$B$14,Paramètres!$A$1:$I$89,5,0)</f>
        <v>-3.813056537183002E-14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290.46086333591074</v>
      </c>
      <c r="DU155" s="62">
        <f t="shared" si="152"/>
        <v>236.8495901994267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-1.1368683772161603E-13</v>
      </c>
      <c r="EK155" s="18">
        <f>EJ155*VLOOKUP('Données projet'!$B$15,Paramètres!$A$1:$I$89,3,0)*VLOOKUP('Données projet'!$B$15,Paramètres!$A$1:$I$89,5,0)</f>
        <v>-9.2222762759774927E-14</v>
      </c>
      <c r="EL155" s="14" t="e">
        <f t="shared" si="179"/>
        <v>#NUM!</v>
      </c>
      <c r="EM155" s="22" t="e">
        <f t="shared" si="180"/>
        <v>#NUM!</v>
      </c>
      <c r="EN155" s="62" t="e">
        <f t="shared" si="128"/>
        <v>#NUM!</v>
      </c>
      <c r="EO155" s="62">
        <f ca="1">AVERAGE(OFFSET($EN$3,0,0,'Données projet'!$E$15+1,1))-AVERAGE(OFFSET($H$3,0,0,'Données projet'!$E$15+1,1))</f>
        <v>256.19915261735281</v>
      </c>
      <c r="EP155" s="62">
        <f t="shared" si="154"/>
        <v>297.47246687305056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-1.1368683772161603E-13</v>
      </c>
      <c r="O156" s="14">
        <f>N156*VLOOKUP('Données projet'!$B$9,Paramètres!$A$1:$I$89,3,0)*VLOOKUP('Données projet'!$B$9,Paramètres!$A$1:$I$89,5,0)</f>
        <v>-9.7543306765146564E-14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446.27304516866047</v>
      </c>
      <c r="T156" s="62">
        <f t="shared" si="142"/>
        <v>230.82970731138215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-3.4106051316484809E-13</v>
      </c>
      <c r="AJ156" s="14">
        <f>AI156*VLOOKUP('Données projet'!$B$10,Paramètres!$A$1:$I$89,3,0)*VLOOKUP('Données projet'!$B$10,Paramètres!$A$1:$I$89,5,0)</f>
        <v>-2.7134774427395314E-13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427.78067187784063</v>
      </c>
      <c r="AO156" s="62">
        <f t="shared" si="144"/>
        <v>464.22892523825118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1.7053025658242404E-13</v>
      </c>
      <c r="BE156" s="14">
        <f>BD156*VLOOKUP('Données projet'!$B$11,Paramètres!$A$1:$I$89,3,0)*VLOOKUP('Données projet'!$B$11,Paramètres!$A$1:$I$89,5,0)</f>
        <v>1.3301360013429075E-13</v>
      </c>
      <c r="BF156" s="14">
        <f t="shared" si="167"/>
        <v>1.9329766731057041E-12</v>
      </c>
      <c r="BG156" s="22">
        <f t="shared" si="168"/>
        <v>3.5982663925596575E-12</v>
      </c>
      <c r="BH156" s="62">
        <f t="shared" si="116"/>
        <v>293.3333333333369</v>
      </c>
      <c r="BI156" s="62">
        <f ca="1">AVERAGE(OFFSET($BH$3,0,0,'Données projet'!$E$11+1,1))-AVERAGE(OFFSET($H$3,0,0,'Données projet'!$E$11+1,1))</f>
        <v>312.09994042858187</v>
      </c>
      <c r="BJ156" s="62">
        <f t="shared" si="146"/>
        <v>283.48738729114024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-2.2737367544323206E-13</v>
      </c>
      <c r="BZ156" s="14">
        <f>BY156*VLOOKUP('Données projet'!$B$12,Paramètres!$A$1:$I$89,3,0)*VLOOKUP('Données projet'!$B$12,Paramètres!$A$1:$I$89,5,0)</f>
        <v>-1.8089849618263545E-13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370.79299728190904</v>
      </c>
      <c r="CE156" s="62">
        <f t="shared" si="148"/>
        <v>404.95703400805775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-1.4210854715202004E-13</v>
      </c>
      <c r="CU156" s="18">
        <f>CT156*VLOOKUP('Données projet'!$B$13,Paramètres!$A$1:$I$89,3,0)*VLOOKUP('Données projet'!$B$13,Paramètres!$A$1:$I$89,5,0)</f>
        <v>-1.3523049346986227E-13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351.34897243264044</v>
      </c>
      <c r="CZ156" s="62">
        <f t="shared" si="150"/>
        <v>268.39685058071603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-5.6843418860808015E-14</v>
      </c>
      <c r="DP156" s="18">
        <f>DO156*VLOOKUP('Données projet'!$B$14,Paramètres!$A$1:$I$89,3,0)*VLOOKUP('Données projet'!$B$14,Paramètres!$A$1:$I$89,5,0)</f>
        <v>-3.813056537183002E-14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290.46086333591074</v>
      </c>
      <c r="DU156" s="62">
        <f t="shared" si="152"/>
        <v>236.8495901994267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-1.1368683772161603E-13</v>
      </c>
      <c r="EK156" s="18">
        <f>EJ156*VLOOKUP('Données projet'!$B$15,Paramètres!$A$1:$I$89,3,0)*VLOOKUP('Données projet'!$B$15,Paramètres!$A$1:$I$89,5,0)</f>
        <v>-9.2222762759774927E-14</v>
      </c>
      <c r="EL156" s="14" t="e">
        <f t="shared" si="179"/>
        <v>#NUM!</v>
      </c>
      <c r="EM156" s="22" t="e">
        <f t="shared" si="180"/>
        <v>#NUM!</v>
      </c>
      <c r="EN156" s="62" t="e">
        <f t="shared" si="128"/>
        <v>#NUM!</v>
      </c>
      <c r="EO156" s="62">
        <f ca="1">AVERAGE(OFFSET($EN$3,0,0,'Données projet'!$E$15+1,1))-AVERAGE(OFFSET($H$3,0,0,'Données projet'!$E$15+1,1))</f>
        <v>256.19915261735281</v>
      </c>
      <c r="EP156" s="62">
        <f t="shared" si="154"/>
        <v>297.47246687305056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-1.1368683772161603E-13</v>
      </c>
      <c r="O157" s="14">
        <f>N157*VLOOKUP('Données projet'!$B$9,Paramètres!$A$1:$I$89,3,0)*VLOOKUP('Données projet'!$B$9,Paramètres!$A$1:$I$89,5,0)</f>
        <v>-9.7543306765146564E-14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446.27304516866047</v>
      </c>
      <c r="T157" s="62">
        <f t="shared" si="142"/>
        <v>230.82970731138215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-3.4106051316484809E-13</v>
      </c>
      <c r="AJ157" s="14">
        <f>AI157*VLOOKUP('Données projet'!$B$10,Paramètres!$A$1:$I$89,3,0)*VLOOKUP('Données projet'!$B$10,Paramètres!$A$1:$I$89,5,0)</f>
        <v>-2.7134774427395314E-13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427.78067187784063</v>
      </c>
      <c r="AO157" s="62">
        <f t="shared" si="144"/>
        <v>464.22892523825118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1.7053025658242404E-13</v>
      </c>
      <c r="BE157" s="14">
        <f>BD157*VLOOKUP('Données projet'!$B$11,Paramètres!$A$1:$I$89,3,0)*VLOOKUP('Données projet'!$B$11,Paramètres!$A$1:$I$89,5,0)</f>
        <v>1.3301360013429075E-13</v>
      </c>
      <c r="BF157" s="14">
        <f t="shared" si="167"/>
        <v>1.9329766731057041E-12</v>
      </c>
      <c r="BG157" s="22">
        <f t="shared" si="168"/>
        <v>3.5982663925596575E-12</v>
      </c>
      <c r="BH157" s="62">
        <f t="shared" si="116"/>
        <v>293.3333333333369</v>
      </c>
      <c r="BI157" s="62">
        <f ca="1">AVERAGE(OFFSET($BH$3,0,0,'Données projet'!$E$11+1,1))-AVERAGE(OFFSET($H$3,0,0,'Données projet'!$E$11+1,1))</f>
        <v>312.09994042858187</v>
      </c>
      <c r="BJ157" s="62">
        <f t="shared" si="146"/>
        <v>283.48738729114024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-2.2737367544323206E-13</v>
      </c>
      <c r="BZ157" s="14">
        <f>BY157*VLOOKUP('Données projet'!$B$12,Paramètres!$A$1:$I$89,3,0)*VLOOKUP('Données projet'!$B$12,Paramètres!$A$1:$I$89,5,0)</f>
        <v>-1.8089849618263545E-13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370.79299728190904</v>
      </c>
      <c r="CE157" s="62">
        <f t="shared" si="148"/>
        <v>404.95703400805775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-1.4210854715202004E-13</v>
      </c>
      <c r="CU157" s="18">
        <f>CT157*VLOOKUP('Données projet'!$B$13,Paramètres!$A$1:$I$89,3,0)*VLOOKUP('Données projet'!$B$13,Paramètres!$A$1:$I$89,5,0)</f>
        <v>-1.3523049346986227E-13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351.34897243264044</v>
      </c>
      <c r="CZ157" s="62">
        <f t="shared" si="150"/>
        <v>268.39685058071603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-5.6843418860808015E-14</v>
      </c>
      <c r="DP157" s="18">
        <f>DO157*VLOOKUP('Données projet'!$B$14,Paramètres!$A$1:$I$89,3,0)*VLOOKUP('Données projet'!$B$14,Paramètres!$A$1:$I$89,5,0)</f>
        <v>-3.813056537183002E-14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290.46086333591074</v>
      </c>
      <c r="DU157" s="62">
        <f t="shared" si="152"/>
        <v>236.8495901994267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-1.1368683772161603E-13</v>
      </c>
      <c r="EK157" s="18">
        <f>EJ157*VLOOKUP('Données projet'!$B$15,Paramètres!$A$1:$I$89,3,0)*VLOOKUP('Données projet'!$B$15,Paramètres!$A$1:$I$89,5,0)</f>
        <v>-9.2222762759774927E-14</v>
      </c>
      <c r="EL157" s="14" t="e">
        <f t="shared" si="179"/>
        <v>#NUM!</v>
      </c>
      <c r="EM157" s="22" t="e">
        <f t="shared" si="180"/>
        <v>#NUM!</v>
      </c>
      <c r="EN157" s="62" t="e">
        <f t="shared" si="128"/>
        <v>#NUM!</v>
      </c>
      <c r="EO157" s="62">
        <f ca="1">AVERAGE(OFFSET($EN$3,0,0,'Données projet'!$E$15+1,1))-AVERAGE(OFFSET($H$3,0,0,'Données projet'!$E$15+1,1))</f>
        <v>256.19915261735281</v>
      </c>
      <c r="EP157" s="62">
        <f t="shared" si="154"/>
        <v>297.47246687305056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-1.1368683772161603E-13</v>
      </c>
      <c r="O158" s="14">
        <f>N158*VLOOKUP('Données projet'!$B$9,Paramètres!$A$1:$I$89,3,0)*VLOOKUP('Données projet'!$B$9,Paramètres!$A$1:$I$89,5,0)</f>
        <v>-9.7543306765146564E-14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446.27304516866047</v>
      </c>
      <c r="T158" s="62">
        <f t="shared" si="142"/>
        <v>230.82970731138215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-3.4106051316484809E-13</v>
      </c>
      <c r="AJ158" s="14">
        <f>AI158*VLOOKUP('Données projet'!$B$10,Paramètres!$A$1:$I$89,3,0)*VLOOKUP('Données projet'!$B$10,Paramètres!$A$1:$I$89,5,0)</f>
        <v>-2.7134774427395314E-13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427.78067187784063</v>
      </c>
      <c r="AO158" s="62">
        <f t="shared" si="144"/>
        <v>464.22892523825118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1.7053025658242404E-13</v>
      </c>
      <c r="BE158" s="14">
        <f>BD158*VLOOKUP('Données projet'!$B$11,Paramètres!$A$1:$I$89,3,0)*VLOOKUP('Données projet'!$B$11,Paramètres!$A$1:$I$89,5,0)</f>
        <v>1.3301360013429075E-13</v>
      </c>
      <c r="BF158" s="14">
        <f t="shared" si="167"/>
        <v>1.9329766731057041E-12</v>
      </c>
      <c r="BG158" s="22">
        <f t="shared" si="168"/>
        <v>3.5982663925596575E-12</v>
      </c>
      <c r="BH158" s="62">
        <f t="shared" si="116"/>
        <v>293.3333333333369</v>
      </c>
      <c r="BI158" s="62">
        <f ca="1">AVERAGE(OFFSET($BH$3,0,0,'Données projet'!$E$11+1,1))-AVERAGE(OFFSET($H$3,0,0,'Données projet'!$E$11+1,1))</f>
        <v>312.09994042858187</v>
      </c>
      <c r="BJ158" s="62">
        <f t="shared" si="146"/>
        <v>283.48738729114024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-2.2737367544323206E-13</v>
      </c>
      <c r="BZ158" s="14">
        <f>BY158*VLOOKUP('Données projet'!$B$12,Paramètres!$A$1:$I$89,3,0)*VLOOKUP('Données projet'!$B$12,Paramètres!$A$1:$I$89,5,0)</f>
        <v>-1.8089849618263545E-13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370.79299728190904</v>
      </c>
      <c r="CE158" s="62">
        <f t="shared" si="148"/>
        <v>404.95703400805775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-1.4210854715202004E-13</v>
      </c>
      <c r="CU158" s="18">
        <f>CT158*VLOOKUP('Données projet'!$B$13,Paramètres!$A$1:$I$89,3,0)*VLOOKUP('Données projet'!$B$13,Paramètres!$A$1:$I$89,5,0)</f>
        <v>-1.3523049346986227E-13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351.34897243264044</v>
      </c>
      <c r="CZ158" s="62">
        <f t="shared" si="150"/>
        <v>268.39685058071603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-5.6843418860808015E-14</v>
      </c>
      <c r="DP158" s="18">
        <f>DO158*VLOOKUP('Données projet'!$B$14,Paramètres!$A$1:$I$89,3,0)*VLOOKUP('Données projet'!$B$14,Paramètres!$A$1:$I$89,5,0)</f>
        <v>-3.813056537183002E-14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290.46086333591074</v>
      </c>
      <c r="DU158" s="62">
        <f t="shared" si="152"/>
        <v>236.8495901994267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-1.1368683772161603E-13</v>
      </c>
      <c r="EK158" s="18">
        <f>EJ158*VLOOKUP('Données projet'!$B$15,Paramètres!$A$1:$I$89,3,0)*VLOOKUP('Données projet'!$B$15,Paramètres!$A$1:$I$89,5,0)</f>
        <v>-9.2222762759774927E-14</v>
      </c>
      <c r="EL158" s="14" t="e">
        <f t="shared" si="179"/>
        <v>#NUM!</v>
      </c>
      <c r="EM158" s="22" t="e">
        <f t="shared" si="180"/>
        <v>#NUM!</v>
      </c>
      <c r="EN158" s="62" t="e">
        <f t="shared" si="128"/>
        <v>#NUM!</v>
      </c>
      <c r="EO158" s="62">
        <f ca="1">AVERAGE(OFFSET($EN$3,0,0,'Données projet'!$E$15+1,1))-AVERAGE(OFFSET($H$3,0,0,'Données projet'!$E$15+1,1))</f>
        <v>256.19915261735281</v>
      </c>
      <c r="EP158" s="62">
        <f t="shared" si="154"/>
        <v>297.47246687305056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-1.1368683772161603E-13</v>
      </c>
      <c r="O159" s="14">
        <f>N159*VLOOKUP('Données projet'!$B$9,Paramètres!$A$1:$I$89,3,0)*VLOOKUP('Données projet'!$B$9,Paramètres!$A$1:$I$89,5,0)</f>
        <v>-9.7543306765146564E-14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446.27304516866047</v>
      </c>
      <c r="T159" s="62">
        <f t="shared" si="142"/>
        <v>230.82970731138215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-3.4106051316484809E-13</v>
      </c>
      <c r="AJ159" s="14">
        <f>AI159*VLOOKUP('Données projet'!$B$10,Paramètres!$A$1:$I$89,3,0)*VLOOKUP('Données projet'!$B$10,Paramètres!$A$1:$I$89,5,0)</f>
        <v>-2.7134774427395314E-13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427.78067187784063</v>
      </c>
      <c r="AO159" s="62">
        <f t="shared" si="144"/>
        <v>464.22892523825118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1.7053025658242404E-13</v>
      </c>
      <c r="BE159" s="14">
        <f>BD159*VLOOKUP('Données projet'!$B$11,Paramètres!$A$1:$I$89,3,0)*VLOOKUP('Données projet'!$B$11,Paramètres!$A$1:$I$89,5,0)</f>
        <v>1.3301360013429075E-13</v>
      </c>
      <c r="BF159" s="14">
        <f t="shared" si="167"/>
        <v>1.9329766731057041E-12</v>
      </c>
      <c r="BG159" s="22">
        <f t="shared" si="168"/>
        <v>3.5982663925596575E-12</v>
      </c>
      <c r="BH159" s="62">
        <f t="shared" si="116"/>
        <v>293.3333333333369</v>
      </c>
      <c r="BI159" s="62">
        <f ca="1">AVERAGE(OFFSET($BH$3,0,0,'Données projet'!$E$11+1,1))-AVERAGE(OFFSET($H$3,0,0,'Données projet'!$E$11+1,1))</f>
        <v>312.09994042858187</v>
      </c>
      <c r="BJ159" s="62">
        <f t="shared" si="146"/>
        <v>283.48738729114024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-2.2737367544323206E-13</v>
      </c>
      <c r="BZ159" s="14">
        <f>BY159*VLOOKUP('Données projet'!$B$12,Paramètres!$A$1:$I$89,3,0)*VLOOKUP('Données projet'!$B$12,Paramètres!$A$1:$I$89,5,0)</f>
        <v>-1.8089849618263545E-13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370.79299728190904</v>
      </c>
      <c r="CE159" s="62">
        <f t="shared" si="148"/>
        <v>404.95703400805775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-1.4210854715202004E-13</v>
      </c>
      <c r="CU159" s="18">
        <f>CT159*VLOOKUP('Données projet'!$B$13,Paramètres!$A$1:$I$89,3,0)*VLOOKUP('Données projet'!$B$13,Paramètres!$A$1:$I$89,5,0)</f>
        <v>-1.3523049346986227E-13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351.34897243264044</v>
      </c>
      <c r="CZ159" s="62">
        <f t="shared" si="150"/>
        <v>268.39685058071603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-5.6843418860808015E-14</v>
      </c>
      <c r="DP159" s="18">
        <f>DO159*VLOOKUP('Données projet'!$B$14,Paramètres!$A$1:$I$89,3,0)*VLOOKUP('Données projet'!$B$14,Paramètres!$A$1:$I$89,5,0)</f>
        <v>-3.813056537183002E-14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290.46086333591074</v>
      </c>
      <c r="DU159" s="62">
        <f t="shared" si="152"/>
        <v>236.8495901994267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-1.1368683772161603E-13</v>
      </c>
      <c r="EK159" s="18">
        <f>EJ159*VLOOKUP('Données projet'!$B$15,Paramètres!$A$1:$I$89,3,0)*VLOOKUP('Données projet'!$B$15,Paramètres!$A$1:$I$89,5,0)</f>
        <v>-9.2222762759774927E-14</v>
      </c>
      <c r="EL159" s="14" t="e">
        <f t="shared" si="179"/>
        <v>#NUM!</v>
      </c>
      <c r="EM159" s="22" t="e">
        <f t="shared" si="180"/>
        <v>#NUM!</v>
      </c>
      <c r="EN159" s="62" t="e">
        <f t="shared" si="128"/>
        <v>#NUM!</v>
      </c>
      <c r="EO159" s="62">
        <f ca="1">AVERAGE(OFFSET($EN$3,0,0,'Données projet'!$E$15+1,1))-AVERAGE(OFFSET($H$3,0,0,'Données projet'!$E$15+1,1))</f>
        <v>256.19915261735281</v>
      </c>
      <c r="EP159" s="62">
        <f t="shared" si="154"/>
        <v>297.47246687305056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-1.1368683772161603E-13</v>
      </c>
      <c r="O160" s="14">
        <f>N160*VLOOKUP('Données projet'!$B$9,Paramètres!$A$1:$I$89,3,0)*VLOOKUP('Données projet'!$B$9,Paramètres!$A$1:$I$89,5,0)</f>
        <v>-9.7543306765146564E-14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446.27304516866047</v>
      </c>
      <c r="T160" s="62">
        <f t="shared" si="142"/>
        <v>230.82970731138215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-3.4106051316484809E-13</v>
      </c>
      <c r="AJ160" s="14">
        <f>AI160*VLOOKUP('Données projet'!$B$10,Paramètres!$A$1:$I$89,3,0)*VLOOKUP('Données projet'!$B$10,Paramètres!$A$1:$I$89,5,0)</f>
        <v>-2.7134774427395314E-13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427.78067187784063</v>
      </c>
      <c r="AO160" s="62">
        <f t="shared" si="144"/>
        <v>464.22892523825118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1.7053025658242404E-13</v>
      </c>
      <c r="BE160" s="14">
        <f>BD160*VLOOKUP('Données projet'!$B$11,Paramètres!$A$1:$I$89,3,0)*VLOOKUP('Données projet'!$B$11,Paramètres!$A$1:$I$89,5,0)</f>
        <v>1.3301360013429075E-13</v>
      </c>
      <c r="BF160" s="14">
        <f t="shared" si="167"/>
        <v>1.9329766731057041E-12</v>
      </c>
      <c r="BG160" s="22">
        <f t="shared" si="168"/>
        <v>3.5982663925596575E-12</v>
      </c>
      <c r="BH160" s="62">
        <f t="shared" si="116"/>
        <v>293.3333333333369</v>
      </c>
      <c r="BI160" s="62">
        <f ca="1">AVERAGE(OFFSET($BH$3,0,0,'Données projet'!$E$11+1,1))-AVERAGE(OFFSET($H$3,0,0,'Données projet'!$E$11+1,1))</f>
        <v>312.09994042858187</v>
      </c>
      <c r="BJ160" s="62">
        <f t="shared" si="146"/>
        <v>283.48738729114024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-2.2737367544323206E-13</v>
      </c>
      <c r="BZ160" s="14">
        <f>BY160*VLOOKUP('Données projet'!$B$12,Paramètres!$A$1:$I$89,3,0)*VLOOKUP('Données projet'!$B$12,Paramètres!$A$1:$I$89,5,0)</f>
        <v>-1.8089849618263545E-13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370.79299728190904</v>
      </c>
      <c r="CE160" s="62">
        <f t="shared" si="148"/>
        <v>404.95703400805775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-1.4210854715202004E-13</v>
      </c>
      <c r="CU160" s="18">
        <f>CT160*VLOOKUP('Données projet'!$B$13,Paramètres!$A$1:$I$89,3,0)*VLOOKUP('Données projet'!$B$13,Paramètres!$A$1:$I$89,5,0)</f>
        <v>-1.3523049346986227E-13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351.34897243264044</v>
      </c>
      <c r="CZ160" s="62">
        <f t="shared" si="150"/>
        <v>268.39685058071603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-5.6843418860808015E-14</v>
      </c>
      <c r="DP160" s="18">
        <f>DO160*VLOOKUP('Données projet'!$B$14,Paramètres!$A$1:$I$89,3,0)*VLOOKUP('Données projet'!$B$14,Paramètres!$A$1:$I$89,5,0)</f>
        <v>-3.813056537183002E-14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290.46086333591074</v>
      </c>
      <c r="DU160" s="62">
        <f t="shared" si="152"/>
        <v>236.8495901994267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-1.1368683772161603E-13</v>
      </c>
      <c r="EK160" s="18">
        <f>EJ160*VLOOKUP('Données projet'!$B$15,Paramètres!$A$1:$I$89,3,0)*VLOOKUP('Données projet'!$B$15,Paramètres!$A$1:$I$89,5,0)</f>
        <v>-9.2222762759774927E-14</v>
      </c>
      <c r="EL160" s="14" t="e">
        <f t="shared" si="179"/>
        <v>#NUM!</v>
      </c>
      <c r="EM160" s="22" t="e">
        <f t="shared" si="180"/>
        <v>#NUM!</v>
      </c>
      <c r="EN160" s="62" t="e">
        <f t="shared" si="128"/>
        <v>#NUM!</v>
      </c>
      <c r="EO160" s="62">
        <f ca="1">AVERAGE(OFFSET($EN$3,0,0,'Données projet'!$E$15+1,1))-AVERAGE(OFFSET($H$3,0,0,'Données projet'!$E$15+1,1))</f>
        <v>256.19915261735281</v>
      </c>
      <c r="EP160" s="62">
        <f t="shared" si="154"/>
        <v>297.47246687305056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-1.1368683772161603E-13</v>
      </c>
      <c r="O161" s="14">
        <f>N161*VLOOKUP('Données projet'!$B$9,Paramètres!$A$1:$I$89,3,0)*VLOOKUP('Données projet'!$B$9,Paramètres!$A$1:$I$89,5,0)</f>
        <v>-9.7543306765146564E-14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446.27304516866047</v>
      </c>
      <c r="T161" s="62">
        <f t="shared" si="142"/>
        <v>230.82970731138215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-3.4106051316484809E-13</v>
      </c>
      <c r="AJ161" s="14">
        <f>AI161*VLOOKUP('Données projet'!$B$10,Paramètres!$A$1:$I$89,3,0)*VLOOKUP('Données projet'!$B$10,Paramètres!$A$1:$I$89,5,0)</f>
        <v>-2.7134774427395314E-13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427.78067187784063</v>
      </c>
      <c r="AO161" s="62">
        <f t="shared" si="144"/>
        <v>464.22892523825118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1.7053025658242404E-13</v>
      </c>
      <c r="BE161" s="14">
        <f>BD161*VLOOKUP('Données projet'!$B$11,Paramètres!$A$1:$I$89,3,0)*VLOOKUP('Données projet'!$B$11,Paramètres!$A$1:$I$89,5,0)</f>
        <v>1.3301360013429075E-13</v>
      </c>
      <c r="BF161" s="14">
        <f t="shared" si="167"/>
        <v>1.9329766731057041E-12</v>
      </c>
      <c r="BG161" s="22">
        <f t="shared" si="168"/>
        <v>3.5982663925596575E-12</v>
      </c>
      <c r="BH161" s="62">
        <f t="shared" si="116"/>
        <v>293.3333333333369</v>
      </c>
      <c r="BI161" s="62">
        <f ca="1">AVERAGE(OFFSET($BH$3,0,0,'Données projet'!$E$11+1,1))-AVERAGE(OFFSET($H$3,0,0,'Données projet'!$E$11+1,1))</f>
        <v>312.09994042858187</v>
      </c>
      <c r="BJ161" s="62">
        <f t="shared" si="146"/>
        <v>283.48738729114024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-2.2737367544323206E-13</v>
      </c>
      <c r="BZ161" s="14">
        <f>BY161*VLOOKUP('Données projet'!$B$12,Paramètres!$A$1:$I$89,3,0)*VLOOKUP('Données projet'!$B$12,Paramètres!$A$1:$I$89,5,0)</f>
        <v>-1.8089849618263545E-13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370.79299728190904</v>
      </c>
      <c r="CE161" s="62">
        <f t="shared" si="148"/>
        <v>404.95703400805775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-1.4210854715202004E-13</v>
      </c>
      <c r="CU161" s="18">
        <f>CT161*VLOOKUP('Données projet'!$B$13,Paramètres!$A$1:$I$89,3,0)*VLOOKUP('Données projet'!$B$13,Paramètres!$A$1:$I$89,5,0)</f>
        <v>-1.3523049346986227E-13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351.34897243264044</v>
      </c>
      <c r="CZ161" s="62">
        <f t="shared" si="150"/>
        <v>268.39685058071603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-5.6843418860808015E-14</v>
      </c>
      <c r="DP161" s="18">
        <f>DO161*VLOOKUP('Données projet'!$B$14,Paramètres!$A$1:$I$89,3,0)*VLOOKUP('Données projet'!$B$14,Paramètres!$A$1:$I$89,5,0)</f>
        <v>-3.813056537183002E-14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290.46086333591074</v>
      </c>
      <c r="DU161" s="62">
        <f t="shared" si="152"/>
        <v>236.8495901994267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-1.1368683772161603E-13</v>
      </c>
      <c r="EK161" s="18">
        <f>EJ161*VLOOKUP('Données projet'!$B$15,Paramètres!$A$1:$I$89,3,0)*VLOOKUP('Données projet'!$B$15,Paramètres!$A$1:$I$89,5,0)</f>
        <v>-9.2222762759774927E-14</v>
      </c>
      <c r="EL161" s="14" t="e">
        <f t="shared" si="179"/>
        <v>#NUM!</v>
      </c>
      <c r="EM161" s="22" t="e">
        <f t="shared" si="180"/>
        <v>#NUM!</v>
      </c>
      <c r="EN161" s="62" t="e">
        <f t="shared" si="128"/>
        <v>#NUM!</v>
      </c>
      <c r="EO161" s="62">
        <f ca="1">AVERAGE(OFFSET($EN$3,0,0,'Données projet'!$E$15+1,1))-AVERAGE(OFFSET($H$3,0,0,'Données projet'!$E$15+1,1))</f>
        <v>256.19915261735281</v>
      </c>
      <c r="EP161" s="62">
        <f t="shared" si="154"/>
        <v>297.47246687305056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-1.1368683772161603E-13</v>
      </c>
      <c r="O162" s="14">
        <f>N162*VLOOKUP('Données projet'!$B$9,Paramètres!$A$1:$I$89,3,0)*VLOOKUP('Données projet'!$B$9,Paramètres!$A$1:$I$89,5,0)</f>
        <v>-9.7543306765146564E-14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446.27304516866047</v>
      </c>
      <c r="T162" s="62">
        <f t="shared" si="142"/>
        <v>230.82970731138215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-3.4106051316484809E-13</v>
      </c>
      <c r="AJ162" s="14">
        <f>AI162*VLOOKUP('Données projet'!$B$10,Paramètres!$A$1:$I$89,3,0)*VLOOKUP('Données projet'!$B$10,Paramètres!$A$1:$I$89,5,0)</f>
        <v>-2.7134774427395314E-13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427.78067187784063</v>
      </c>
      <c r="AO162" s="62">
        <f t="shared" si="144"/>
        <v>464.22892523825118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1.7053025658242404E-13</v>
      </c>
      <c r="BE162" s="14">
        <f>BD162*VLOOKUP('Données projet'!$B$11,Paramètres!$A$1:$I$89,3,0)*VLOOKUP('Données projet'!$B$11,Paramètres!$A$1:$I$89,5,0)</f>
        <v>1.3301360013429075E-13</v>
      </c>
      <c r="BF162" s="14">
        <f t="shared" si="167"/>
        <v>1.9329766731057041E-12</v>
      </c>
      <c r="BG162" s="22">
        <f t="shared" si="168"/>
        <v>3.5982663925596575E-12</v>
      </c>
      <c r="BH162" s="62">
        <f t="shared" si="116"/>
        <v>293.3333333333369</v>
      </c>
      <c r="BI162" s="62">
        <f ca="1">AVERAGE(OFFSET($BH$3,0,0,'Données projet'!$E$11+1,1))-AVERAGE(OFFSET($H$3,0,0,'Données projet'!$E$11+1,1))</f>
        <v>312.09994042858187</v>
      </c>
      <c r="BJ162" s="62">
        <f t="shared" si="146"/>
        <v>283.48738729114024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-2.2737367544323206E-13</v>
      </c>
      <c r="BZ162" s="14">
        <f>BY162*VLOOKUP('Données projet'!$B$12,Paramètres!$A$1:$I$89,3,0)*VLOOKUP('Données projet'!$B$12,Paramètres!$A$1:$I$89,5,0)</f>
        <v>-1.8089849618263545E-13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370.79299728190904</v>
      </c>
      <c r="CE162" s="62">
        <f t="shared" si="148"/>
        <v>404.95703400805775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-1.4210854715202004E-13</v>
      </c>
      <c r="CU162" s="18">
        <f>CT162*VLOOKUP('Données projet'!$B$13,Paramètres!$A$1:$I$89,3,0)*VLOOKUP('Données projet'!$B$13,Paramètres!$A$1:$I$89,5,0)</f>
        <v>-1.3523049346986227E-13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351.34897243264044</v>
      </c>
      <c r="CZ162" s="62">
        <f t="shared" si="150"/>
        <v>268.39685058071603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-5.6843418860808015E-14</v>
      </c>
      <c r="DP162" s="18">
        <f>DO162*VLOOKUP('Données projet'!$B$14,Paramètres!$A$1:$I$89,3,0)*VLOOKUP('Données projet'!$B$14,Paramètres!$A$1:$I$89,5,0)</f>
        <v>-3.813056537183002E-14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290.46086333591074</v>
      </c>
      <c r="DU162" s="62">
        <f t="shared" si="152"/>
        <v>236.8495901994267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-1.1368683772161603E-13</v>
      </c>
      <c r="EK162" s="18">
        <f>EJ162*VLOOKUP('Données projet'!$B$15,Paramètres!$A$1:$I$89,3,0)*VLOOKUP('Données projet'!$B$15,Paramètres!$A$1:$I$89,5,0)</f>
        <v>-9.2222762759774927E-14</v>
      </c>
      <c r="EL162" s="14" t="e">
        <f t="shared" si="179"/>
        <v>#NUM!</v>
      </c>
      <c r="EM162" s="22" t="e">
        <f t="shared" si="180"/>
        <v>#NUM!</v>
      </c>
      <c r="EN162" s="62" t="e">
        <f t="shared" si="128"/>
        <v>#NUM!</v>
      </c>
      <c r="EO162" s="62">
        <f ca="1">AVERAGE(OFFSET($EN$3,0,0,'Données projet'!$E$15+1,1))-AVERAGE(OFFSET($H$3,0,0,'Données projet'!$E$15+1,1))</f>
        <v>256.19915261735281</v>
      </c>
      <c r="EP162" s="62">
        <f t="shared" si="154"/>
        <v>297.47246687305056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-1.1368683772161603E-13</v>
      </c>
      <c r="O163" s="14">
        <f>N163*VLOOKUP('Données projet'!$B$9,Paramètres!$A$1:$I$89,3,0)*VLOOKUP('Données projet'!$B$9,Paramètres!$A$1:$I$89,5,0)</f>
        <v>-9.7543306765146564E-14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446.27304516866047</v>
      </c>
      <c r="T163" s="62">
        <f t="shared" si="142"/>
        <v>230.82970731138215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-3.4106051316484809E-13</v>
      </c>
      <c r="AJ163" s="14">
        <f>AI163*VLOOKUP('Données projet'!$B$10,Paramètres!$A$1:$I$89,3,0)*VLOOKUP('Données projet'!$B$10,Paramètres!$A$1:$I$89,5,0)</f>
        <v>-2.7134774427395314E-13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427.78067187784063</v>
      </c>
      <c r="AO163" s="62">
        <f t="shared" si="144"/>
        <v>464.22892523825118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1.7053025658242404E-13</v>
      </c>
      <c r="BE163" s="14">
        <f>BD163*VLOOKUP('Données projet'!$B$11,Paramètres!$A$1:$I$89,3,0)*VLOOKUP('Données projet'!$B$11,Paramètres!$A$1:$I$89,5,0)</f>
        <v>1.3301360013429075E-13</v>
      </c>
      <c r="BF163" s="14">
        <f t="shared" si="167"/>
        <v>1.9329766731057041E-12</v>
      </c>
      <c r="BG163" s="22">
        <f t="shared" si="168"/>
        <v>3.5982663925596575E-12</v>
      </c>
      <c r="BH163" s="62">
        <f t="shared" si="116"/>
        <v>293.3333333333369</v>
      </c>
      <c r="BI163" s="62">
        <f ca="1">AVERAGE(OFFSET($BH$3,0,0,'Données projet'!$E$11+1,1))-AVERAGE(OFFSET($H$3,0,0,'Données projet'!$E$11+1,1))</f>
        <v>312.09994042858187</v>
      </c>
      <c r="BJ163" s="62">
        <f t="shared" si="146"/>
        <v>283.48738729114024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-2.2737367544323206E-13</v>
      </c>
      <c r="BZ163" s="14">
        <f>BY163*VLOOKUP('Données projet'!$B$12,Paramètres!$A$1:$I$89,3,0)*VLOOKUP('Données projet'!$B$12,Paramètres!$A$1:$I$89,5,0)</f>
        <v>-1.8089849618263545E-13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370.79299728190904</v>
      </c>
      <c r="CE163" s="62">
        <f t="shared" si="148"/>
        <v>404.95703400805775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-1.4210854715202004E-13</v>
      </c>
      <c r="CU163" s="18">
        <f>CT163*VLOOKUP('Données projet'!$B$13,Paramètres!$A$1:$I$89,3,0)*VLOOKUP('Données projet'!$B$13,Paramètres!$A$1:$I$89,5,0)</f>
        <v>-1.3523049346986227E-13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351.34897243264044</v>
      </c>
      <c r="CZ163" s="62">
        <f t="shared" si="150"/>
        <v>268.39685058071603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-5.6843418860808015E-14</v>
      </c>
      <c r="DP163" s="18">
        <f>DO163*VLOOKUP('Données projet'!$B$14,Paramètres!$A$1:$I$89,3,0)*VLOOKUP('Données projet'!$B$14,Paramètres!$A$1:$I$89,5,0)</f>
        <v>-3.813056537183002E-14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290.46086333591074</v>
      </c>
      <c r="DU163" s="62">
        <f t="shared" si="152"/>
        <v>236.8495901994267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-1.1368683772161603E-13</v>
      </c>
      <c r="EK163" s="18">
        <f>EJ163*VLOOKUP('Données projet'!$B$15,Paramètres!$A$1:$I$89,3,0)*VLOOKUP('Données projet'!$B$15,Paramètres!$A$1:$I$89,5,0)</f>
        <v>-9.2222762759774927E-14</v>
      </c>
      <c r="EL163" s="14" t="e">
        <f t="shared" si="179"/>
        <v>#NUM!</v>
      </c>
      <c r="EM163" s="22" t="e">
        <f t="shared" si="180"/>
        <v>#NUM!</v>
      </c>
      <c r="EN163" s="62" t="e">
        <f t="shared" si="128"/>
        <v>#NUM!</v>
      </c>
      <c r="EO163" s="62">
        <f ca="1">AVERAGE(OFFSET($EN$3,0,0,'Données projet'!$E$15+1,1))-AVERAGE(OFFSET($H$3,0,0,'Données projet'!$E$15+1,1))</f>
        <v>256.19915261735281</v>
      </c>
      <c r="EP163" s="62">
        <f t="shared" si="154"/>
        <v>297.47246687305056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-1.1368683772161603E-13</v>
      </c>
      <c r="O164" s="14">
        <f>N164*VLOOKUP('Données projet'!$B$9,Paramètres!$A$1:$I$89,3,0)*VLOOKUP('Données projet'!$B$9,Paramètres!$A$1:$I$89,5,0)</f>
        <v>-9.7543306765146564E-14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446.27304516866047</v>
      </c>
      <c r="T164" s="62">
        <f t="shared" si="142"/>
        <v>230.82970731138215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-3.4106051316484809E-13</v>
      </c>
      <c r="AJ164" s="14">
        <f>AI164*VLOOKUP('Données projet'!$B$10,Paramètres!$A$1:$I$89,3,0)*VLOOKUP('Données projet'!$B$10,Paramètres!$A$1:$I$89,5,0)</f>
        <v>-2.7134774427395314E-13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427.78067187784063</v>
      </c>
      <c r="AO164" s="62">
        <f t="shared" si="144"/>
        <v>464.22892523825118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1.7053025658242404E-13</v>
      </c>
      <c r="BE164" s="14">
        <f>BD164*VLOOKUP('Données projet'!$B$11,Paramètres!$A$1:$I$89,3,0)*VLOOKUP('Données projet'!$B$11,Paramètres!$A$1:$I$89,5,0)</f>
        <v>1.3301360013429075E-13</v>
      </c>
      <c r="BF164" s="14">
        <f t="shared" si="167"/>
        <v>1.9329766731057041E-12</v>
      </c>
      <c r="BG164" s="22">
        <f t="shared" si="168"/>
        <v>3.5982663925596575E-12</v>
      </c>
      <c r="BH164" s="62">
        <f t="shared" si="116"/>
        <v>293.3333333333369</v>
      </c>
      <c r="BI164" s="62">
        <f ca="1">AVERAGE(OFFSET($BH$3,0,0,'Données projet'!$E$11+1,1))-AVERAGE(OFFSET($H$3,0,0,'Données projet'!$E$11+1,1))</f>
        <v>312.09994042858187</v>
      </c>
      <c r="BJ164" s="62">
        <f t="shared" si="146"/>
        <v>283.48738729114024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-2.2737367544323206E-13</v>
      </c>
      <c r="BZ164" s="14">
        <f>BY164*VLOOKUP('Données projet'!$B$12,Paramètres!$A$1:$I$89,3,0)*VLOOKUP('Données projet'!$B$12,Paramètres!$A$1:$I$89,5,0)</f>
        <v>-1.8089849618263545E-13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370.79299728190904</v>
      </c>
      <c r="CE164" s="62">
        <f t="shared" si="148"/>
        <v>404.95703400805775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-1.4210854715202004E-13</v>
      </c>
      <c r="CU164" s="18">
        <f>CT164*VLOOKUP('Données projet'!$B$13,Paramètres!$A$1:$I$89,3,0)*VLOOKUP('Données projet'!$B$13,Paramètres!$A$1:$I$89,5,0)</f>
        <v>-1.3523049346986227E-13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351.34897243264044</v>
      </c>
      <c r="CZ164" s="62">
        <f t="shared" si="150"/>
        <v>268.39685058071603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-5.6843418860808015E-14</v>
      </c>
      <c r="DP164" s="18">
        <f>DO164*VLOOKUP('Données projet'!$B$14,Paramètres!$A$1:$I$89,3,0)*VLOOKUP('Données projet'!$B$14,Paramètres!$A$1:$I$89,5,0)</f>
        <v>-3.813056537183002E-14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290.46086333591074</v>
      </c>
      <c r="DU164" s="62">
        <f t="shared" si="152"/>
        <v>236.8495901994267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-1.1368683772161603E-13</v>
      </c>
      <c r="EK164" s="18">
        <f>EJ164*VLOOKUP('Données projet'!$B$15,Paramètres!$A$1:$I$89,3,0)*VLOOKUP('Données projet'!$B$15,Paramètres!$A$1:$I$89,5,0)</f>
        <v>-9.2222762759774927E-14</v>
      </c>
      <c r="EL164" s="14" t="e">
        <f t="shared" si="179"/>
        <v>#NUM!</v>
      </c>
      <c r="EM164" s="22" t="e">
        <f t="shared" si="180"/>
        <v>#NUM!</v>
      </c>
      <c r="EN164" s="62" t="e">
        <f t="shared" si="128"/>
        <v>#NUM!</v>
      </c>
      <c r="EO164" s="62">
        <f ca="1">AVERAGE(OFFSET($EN$3,0,0,'Données projet'!$E$15+1,1))-AVERAGE(OFFSET($H$3,0,0,'Données projet'!$E$15+1,1))</f>
        <v>256.19915261735281</v>
      </c>
      <c r="EP164" s="62">
        <f t="shared" si="154"/>
        <v>297.47246687305056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-1.1368683772161603E-13</v>
      </c>
      <c r="O165" s="14">
        <f>N165*VLOOKUP('Données projet'!$B$9,Paramètres!$A$1:$I$89,3,0)*VLOOKUP('Données projet'!$B$9,Paramètres!$A$1:$I$89,5,0)</f>
        <v>-9.7543306765146564E-14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446.27304516866047</v>
      </c>
      <c r="T165" s="62">
        <f t="shared" si="142"/>
        <v>230.82970731138215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-3.4106051316484809E-13</v>
      </c>
      <c r="AJ165" s="14">
        <f>AI165*VLOOKUP('Données projet'!$B$10,Paramètres!$A$1:$I$89,3,0)*VLOOKUP('Données projet'!$B$10,Paramètres!$A$1:$I$89,5,0)</f>
        <v>-2.7134774427395314E-13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427.78067187784063</v>
      </c>
      <c r="AO165" s="62">
        <f t="shared" si="144"/>
        <v>464.22892523825118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1.7053025658242404E-13</v>
      </c>
      <c r="BE165" s="14">
        <f>BD165*VLOOKUP('Données projet'!$B$11,Paramètres!$A$1:$I$89,3,0)*VLOOKUP('Données projet'!$B$11,Paramètres!$A$1:$I$89,5,0)</f>
        <v>1.3301360013429075E-13</v>
      </c>
      <c r="BF165" s="14">
        <f t="shared" si="167"/>
        <v>1.9329766731057041E-12</v>
      </c>
      <c r="BG165" s="22">
        <f t="shared" si="168"/>
        <v>3.5982663925596575E-12</v>
      </c>
      <c r="BH165" s="62">
        <f t="shared" si="116"/>
        <v>293.3333333333369</v>
      </c>
      <c r="BI165" s="62">
        <f ca="1">AVERAGE(OFFSET($BH$3,0,0,'Données projet'!$E$11+1,1))-AVERAGE(OFFSET($H$3,0,0,'Données projet'!$E$11+1,1))</f>
        <v>312.09994042858187</v>
      </c>
      <c r="BJ165" s="62">
        <f t="shared" si="146"/>
        <v>283.48738729114024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-2.2737367544323206E-13</v>
      </c>
      <c r="BZ165" s="14">
        <f>BY165*VLOOKUP('Données projet'!$B$12,Paramètres!$A$1:$I$89,3,0)*VLOOKUP('Données projet'!$B$12,Paramètres!$A$1:$I$89,5,0)</f>
        <v>-1.8089849618263545E-13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370.79299728190904</v>
      </c>
      <c r="CE165" s="62">
        <f t="shared" si="148"/>
        <v>404.95703400805775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-1.4210854715202004E-13</v>
      </c>
      <c r="CU165" s="18">
        <f>CT165*VLOOKUP('Données projet'!$B$13,Paramètres!$A$1:$I$89,3,0)*VLOOKUP('Données projet'!$B$13,Paramètres!$A$1:$I$89,5,0)</f>
        <v>-1.3523049346986227E-13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351.34897243264044</v>
      </c>
      <c r="CZ165" s="62">
        <f t="shared" si="150"/>
        <v>268.39685058071603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-5.6843418860808015E-14</v>
      </c>
      <c r="DP165" s="18">
        <f>DO165*VLOOKUP('Données projet'!$B$14,Paramètres!$A$1:$I$89,3,0)*VLOOKUP('Données projet'!$B$14,Paramètres!$A$1:$I$89,5,0)</f>
        <v>-3.813056537183002E-14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290.46086333591074</v>
      </c>
      <c r="DU165" s="62">
        <f t="shared" si="152"/>
        <v>236.8495901994267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-1.1368683772161603E-13</v>
      </c>
      <c r="EK165" s="18">
        <f>EJ165*VLOOKUP('Données projet'!$B$15,Paramètres!$A$1:$I$89,3,0)*VLOOKUP('Données projet'!$B$15,Paramètres!$A$1:$I$89,5,0)</f>
        <v>-9.2222762759774927E-14</v>
      </c>
      <c r="EL165" s="14" t="e">
        <f t="shared" si="179"/>
        <v>#NUM!</v>
      </c>
      <c r="EM165" s="22" t="e">
        <f t="shared" si="180"/>
        <v>#NUM!</v>
      </c>
      <c r="EN165" s="62" t="e">
        <f t="shared" si="128"/>
        <v>#NUM!</v>
      </c>
      <c r="EO165" s="62">
        <f ca="1">AVERAGE(OFFSET($EN$3,0,0,'Données projet'!$E$15+1,1))-AVERAGE(OFFSET($H$3,0,0,'Données projet'!$E$15+1,1))</f>
        <v>256.19915261735281</v>
      </c>
      <c r="EP165" s="62">
        <f t="shared" si="154"/>
        <v>297.47246687305056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-1.1368683772161603E-13</v>
      </c>
      <c r="O166" s="14">
        <f>N166*VLOOKUP('Données projet'!$B$9,Paramètres!$A$1:$I$89,3,0)*VLOOKUP('Données projet'!$B$9,Paramètres!$A$1:$I$89,5,0)</f>
        <v>-9.7543306765146564E-14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446.27304516866047</v>
      </c>
      <c r="T166" s="62">
        <f t="shared" si="142"/>
        <v>230.82970731138215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-3.4106051316484809E-13</v>
      </c>
      <c r="AJ166" s="14">
        <f>AI166*VLOOKUP('Données projet'!$B$10,Paramètres!$A$1:$I$89,3,0)*VLOOKUP('Données projet'!$B$10,Paramètres!$A$1:$I$89,5,0)</f>
        <v>-2.7134774427395314E-13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427.78067187784063</v>
      </c>
      <c r="AO166" s="62">
        <f t="shared" si="144"/>
        <v>464.22892523825118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1.7053025658242404E-13</v>
      </c>
      <c r="BE166" s="14">
        <f>BD166*VLOOKUP('Données projet'!$B$11,Paramètres!$A$1:$I$89,3,0)*VLOOKUP('Données projet'!$B$11,Paramètres!$A$1:$I$89,5,0)</f>
        <v>1.3301360013429075E-13</v>
      </c>
      <c r="BF166" s="14">
        <f t="shared" si="167"/>
        <v>1.9329766731057041E-12</v>
      </c>
      <c r="BG166" s="22">
        <f t="shared" si="168"/>
        <v>3.5982663925596575E-12</v>
      </c>
      <c r="BH166" s="62">
        <f t="shared" si="116"/>
        <v>293.3333333333369</v>
      </c>
      <c r="BI166" s="62">
        <f ca="1">AVERAGE(OFFSET($BH$3,0,0,'Données projet'!$E$11+1,1))-AVERAGE(OFFSET($H$3,0,0,'Données projet'!$E$11+1,1))</f>
        <v>312.09994042858187</v>
      </c>
      <c r="BJ166" s="62">
        <f t="shared" si="146"/>
        <v>283.48738729114024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-2.2737367544323206E-13</v>
      </c>
      <c r="BZ166" s="14">
        <f>BY166*VLOOKUP('Données projet'!$B$12,Paramètres!$A$1:$I$89,3,0)*VLOOKUP('Données projet'!$B$12,Paramètres!$A$1:$I$89,5,0)</f>
        <v>-1.8089849618263545E-13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370.79299728190904</v>
      </c>
      <c r="CE166" s="62">
        <f t="shared" si="148"/>
        <v>404.95703400805775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-1.4210854715202004E-13</v>
      </c>
      <c r="CU166" s="18">
        <f>CT166*VLOOKUP('Données projet'!$B$13,Paramètres!$A$1:$I$89,3,0)*VLOOKUP('Données projet'!$B$13,Paramètres!$A$1:$I$89,5,0)</f>
        <v>-1.3523049346986227E-13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351.34897243264044</v>
      </c>
      <c r="CZ166" s="62">
        <f t="shared" si="150"/>
        <v>268.39685058071603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-5.6843418860808015E-14</v>
      </c>
      <c r="DP166" s="18">
        <f>DO166*VLOOKUP('Données projet'!$B$14,Paramètres!$A$1:$I$89,3,0)*VLOOKUP('Données projet'!$B$14,Paramètres!$A$1:$I$89,5,0)</f>
        <v>-3.813056537183002E-14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290.46086333591074</v>
      </c>
      <c r="DU166" s="62">
        <f t="shared" si="152"/>
        <v>236.8495901994267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-1.1368683772161603E-13</v>
      </c>
      <c r="EK166" s="18">
        <f>EJ166*VLOOKUP('Données projet'!$B$15,Paramètres!$A$1:$I$89,3,0)*VLOOKUP('Données projet'!$B$15,Paramètres!$A$1:$I$89,5,0)</f>
        <v>-9.2222762759774927E-14</v>
      </c>
      <c r="EL166" s="14" t="e">
        <f t="shared" si="179"/>
        <v>#NUM!</v>
      </c>
      <c r="EM166" s="22" t="e">
        <f t="shared" si="180"/>
        <v>#NUM!</v>
      </c>
      <c r="EN166" s="62" t="e">
        <f t="shared" si="128"/>
        <v>#NUM!</v>
      </c>
      <c r="EO166" s="62">
        <f ca="1">AVERAGE(OFFSET($EN$3,0,0,'Données projet'!$E$15+1,1))-AVERAGE(OFFSET($H$3,0,0,'Données projet'!$E$15+1,1))</f>
        <v>256.19915261735281</v>
      </c>
      <c r="EP166" s="62">
        <f t="shared" si="154"/>
        <v>297.47246687305056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-1.1368683772161603E-13</v>
      </c>
      <c r="O167" s="14">
        <f>N167*VLOOKUP('Données projet'!$B$9,Paramètres!$A$1:$I$89,3,0)*VLOOKUP('Données projet'!$B$9,Paramètres!$A$1:$I$89,5,0)</f>
        <v>-9.7543306765146564E-14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446.27304516866047</v>
      </c>
      <c r="T167" s="62">
        <f t="shared" si="142"/>
        <v>230.82970731138215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-3.4106051316484809E-13</v>
      </c>
      <c r="AJ167" s="14">
        <f>AI167*VLOOKUP('Données projet'!$B$10,Paramètres!$A$1:$I$89,3,0)*VLOOKUP('Données projet'!$B$10,Paramètres!$A$1:$I$89,5,0)</f>
        <v>-2.7134774427395314E-13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427.78067187784063</v>
      </c>
      <c r="AO167" s="62">
        <f t="shared" si="144"/>
        <v>464.22892523825118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1.7053025658242404E-13</v>
      </c>
      <c r="BE167" s="14">
        <f>BD167*VLOOKUP('Données projet'!$B$11,Paramètres!$A$1:$I$89,3,0)*VLOOKUP('Données projet'!$B$11,Paramètres!$A$1:$I$89,5,0)</f>
        <v>1.3301360013429075E-13</v>
      </c>
      <c r="BF167" s="14">
        <f t="shared" si="167"/>
        <v>1.9329766731057041E-12</v>
      </c>
      <c r="BG167" s="22">
        <f t="shared" si="168"/>
        <v>3.5982663925596575E-12</v>
      </c>
      <c r="BH167" s="62">
        <f t="shared" si="116"/>
        <v>293.3333333333369</v>
      </c>
      <c r="BI167" s="62">
        <f ca="1">AVERAGE(OFFSET($BH$3,0,0,'Données projet'!$E$11+1,1))-AVERAGE(OFFSET($H$3,0,0,'Données projet'!$E$11+1,1))</f>
        <v>312.09994042858187</v>
      </c>
      <c r="BJ167" s="62">
        <f t="shared" si="146"/>
        <v>283.48738729114024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-2.2737367544323206E-13</v>
      </c>
      <c r="BZ167" s="14">
        <f>BY167*VLOOKUP('Données projet'!$B$12,Paramètres!$A$1:$I$89,3,0)*VLOOKUP('Données projet'!$B$12,Paramètres!$A$1:$I$89,5,0)</f>
        <v>-1.8089849618263545E-13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370.79299728190904</v>
      </c>
      <c r="CE167" s="62">
        <f t="shared" si="148"/>
        <v>404.95703400805775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-1.4210854715202004E-13</v>
      </c>
      <c r="CU167" s="18">
        <f>CT167*VLOOKUP('Données projet'!$B$13,Paramètres!$A$1:$I$89,3,0)*VLOOKUP('Données projet'!$B$13,Paramètres!$A$1:$I$89,5,0)</f>
        <v>-1.3523049346986227E-13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351.34897243264044</v>
      </c>
      <c r="CZ167" s="62">
        <f t="shared" si="150"/>
        <v>268.39685058071603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-5.6843418860808015E-14</v>
      </c>
      <c r="DP167" s="18">
        <f>DO167*VLOOKUP('Données projet'!$B$14,Paramètres!$A$1:$I$89,3,0)*VLOOKUP('Données projet'!$B$14,Paramètres!$A$1:$I$89,5,0)</f>
        <v>-3.813056537183002E-14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290.46086333591074</v>
      </c>
      <c r="DU167" s="62">
        <f t="shared" si="152"/>
        <v>236.8495901994267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-1.1368683772161603E-13</v>
      </c>
      <c r="EK167" s="18">
        <f>EJ167*VLOOKUP('Données projet'!$B$15,Paramètres!$A$1:$I$89,3,0)*VLOOKUP('Données projet'!$B$15,Paramètres!$A$1:$I$89,5,0)</f>
        <v>-9.2222762759774927E-14</v>
      </c>
      <c r="EL167" s="14" t="e">
        <f t="shared" si="179"/>
        <v>#NUM!</v>
      </c>
      <c r="EM167" s="22" t="e">
        <f t="shared" si="180"/>
        <v>#NUM!</v>
      </c>
      <c r="EN167" s="62" t="e">
        <f t="shared" si="128"/>
        <v>#NUM!</v>
      </c>
      <c r="EO167" s="62">
        <f ca="1">AVERAGE(OFFSET($EN$3,0,0,'Données projet'!$E$15+1,1))-AVERAGE(OFFSET($H$3,0,0,'Données projet'!$E$15+1,1))</f>
        <v>256.19915261735281</v>
      </c>
      <c r="EP167" s="62">
        <f t="shared" si="154"/>
        <v>297.47246687305056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-1.1368683772161603E-13</v>
      </c>
      <c r="O168" s="14">
        <f>N168*VLOOKUP('Données projet'!$B$9,Paramètres!$A$1:$I$89,3,0)*VLOOKUP('Données projet'!$B$9,Paramètres!$A$1:$I$89,5,0)</f>
        <v>-9.7543306765146564E-14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446.27304516866047</v>
      </c>
      <c r="T168" s="62">
        <f t="shared" si="142"/>
        <v>230.82970731138215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-3.4106051316484809E-13</v>
      </c>
      <c r="AJ168" s="14">
        <f>AI168*VLOOKUP('Données projet'!$B$10,Paramètres!$A$1:$I$89,3,0)*VLOOKUP('Données projet'!$B$10,Paramètres!$A$1:$I$89,5,0)</f>
        <v>-2.7134774427395314E-13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427.78067187784063</v>
      </c>
      <c r="AO168" s="62">
        <f t="shared" si="144"/>
        <v>464.22892523825118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1.7053025658242404E-13</v>
      </c>
      <c r="BE168" s="14">
        <f>BD168*VLOOKUP('Données projet'!$B$11,Paramètres!$A$1:$I$89,3,0)*VLOOKUP('Données projet'!$B$11,Paramètres!$A$1:$I$89,5,0)</f>
        <v>1.3301360013429075E-13</v>
      </c>
      <c r="BF168" s="14">
        <f t="shared" si="167"/>
        <v>1.9329766731057041E-12</v>
      </c>
      <c r="BG168" s="22">
        <f t="shared" si="168"/>
        <v>3.5982663925596575E-12</v>
      </c>
      <c r="BH168" s="62">
        <f t="shared" si="116"/>
        <v>293.3333333333369</v>
      </c>
      <c r="BI168" s="62">
        <f ca="1">AVERAGE(OFFSET($BH$3,0,0,'Données projet'!$E$11+1,1))-AVERAGE(OFFSET($H$3,0,0,'Données projet'!$E$11+1,1))</f>
        <v>312.09994042858187</v>
      </c>
      <c r="BJ168" s="62">
        <f t="shared" si="146"/>
        <v>283.48738729114024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-2.2737367544323206E-13</v>
      </c>
      <c r="BZ168" s="14">
        <f>BY168*VLOOKUP('Données projet'!$B$12,Paramètres!$A$1:$I$89,3,0)*VLOOKUP('Données projet'!$B$12,Paramètres!$A$1:$I$89,5,0)</f>
        <v>-1.8089849618263545E-13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370.79299728190904</v>
      </c>
      <c r="CE168" s="62">
        <f t="shared" si="148"/>
        <v>404.95703400805775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-1.4210854715202004E-13</v>
      </c>
      <c r="CU168" s="18">
        <f>CT168*VLOOKUP('Données projet'!$B$13,Paramètres!$A$1:$I$89,3,0)*VLOOKUP('Données projet'!$B$13,Paramètres!$A$1:$I$89,5,0)</f>
        <v>-1.3523049346986227E-13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351.34897243264044</v>
      </c>
      <c r="CZ168" s="62">
        <f t="shared" si="150"/>
        <v>268.39685058071603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-5.6843418860808015E-14</v>
      </c>
      <c r="DP168" s="18">
        <f>DO168*VLOOKUP('Données projet'!$B$14,Paramètres!$A$1:$I$89,3,0)*VLOOKUP('Données projet'!$B$14,Paramètres!$A$1:$I$89,5,0)</f>
        <v>-3.813056537183002E-14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290.46086333591074</v>
      </c>
      <c r="DU168" s="62">
        <f t="shared" si="152"/>
        <v>236.8495901994267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-1.1368683772161603E-13</v>
      </c>
      <c r="EK168" s="18">
        <f>EJ168*VLOOKUP('Données projet'!$B$15,Paramètres!$A$1:$I$89,3,0)*VLOOKUP('Données projet'!$B$15,Paramètres!$A$1:$I$89,5,0)</f>
        <v>-9.2222762759774927E-14</v>
      </c>
      <c r="EL168" s="14" t="e">
        <f t="shared" si="179"/>
        <v>#NUM!</v>
      </c>
      <c r="EM168" s="22" t="e">
        <f t="shared" si="180"/>
        <v>#NUM!</v>
      </c>
      <c r="EN168" s="62" t="e">
        <f t="shared" si="128"/>
        <v>#NUM!</v>
      </c>
      <c r="EO168" s="62">
        <f ca="1">AVERAGE(OFFSET($EN$3,0,0,'Données projet'!$E$15+1,1))-AVERAGE(OFFSET($H$3,0,0,'Données projet'!$E$15+1,1))</f>
        <v>256.19915261735281</v>
      </c>
      <c r="EP168" s="62">
        <f t="shared" si="154"/>
        <v>297.47246687305056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-1.1368683772161603E-13</v>
      </c>
      <c r="O169" s="14">
        <f>N169*VLOOKUP('Données projet'!$B$9,Paramètres!$A$1:$I$89,3,0)*VLOOKUP('Données projet'!$B$9,Paramètres!$A$1:$I$89,5,0)</f>
        <v>-9.7543306765146564E-14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446.27304516866047</v>
      </c>
      <c r="T169" s="62">
        <f t="shared" si="142"/>
        <v>230.82970731138215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-3.4106051316484809E-13</v>
      </c>
      <c r="AJ169" s="14">
        <f>AI169*VLOOKUP('Données projet'!$B$10,Paramètres!$A$1:$I$89,3,0)*VLOOKUP('Données projet'!$B$10,Paramètres!$A$1:$I$89,5,0)</f>
        <v>-2.7134774427395314E-13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427.78067187784063</v>
      </c>
      <c r="AO169" s="62">
        <f t="shared" si="144"/>
        <v>464.22892523825118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1.7053025658242404E-13</v>
      </c>
      <c r="BE169" s="14">
        <f>BD169*VLOOKUP('Données projet'!$B$11,Paramètres!$A$1:$I$89,3,0)*VLOOKUP('Données projet'!$B$11,Paramètres!$A$1:$I$89,5,0)</f>
        <v>1.3301360013429075E-13</v>
      </c>
      <c r="BF169" s="14">
        <f t="shared" si="167"/>
        <v>1.9329766731057041E-12</v>
      </c>
      <c r="BG169" s="22">
        <f t="shared" si="168"/>
        <v>3.5982663925596575E-12</v>
      </c>
      <c r="BH169" s="62">
        <f t="shared" si="116"/>
        <v>293.3333333333369</v>
      </c>
      <c r="BI169" s="62">
        <f ca="1">AVERAGE(OFFSET($BH$3,0,0,'Données projet'!$E$11+1,1))-AVERAGE(OFFSET($H$3,0,0,'Données projet'!$E$11+1,1))</f>
        <v>312.09994042858187</v>
      </c>
      <c r="BJ169" s="62">
        <f t="shared" si="146"/>
        <v>283.48738729114024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-2.2737367544323206E-13</v>
      </c>
      <c r="BZ169" s="14">
        <f>BY169*VLOOKUP('Données projet'!$B$12,Paramètres!$A$1:$I$89,3,0)*VLOOKUP('Données projet'!$B$12,Paramètres!$A$1:$I$89,5,0)</f>
        <v>-1.8089849618263545E-13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370.79299728190904</v>
      </c>
      <c r="CE169" s="62">
        <f t="shared" si="148"/>
        <v>404.95703400805775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-1.4210854715202004E-13</v>
      </c>
      <c r="CU169" s="18">
        <f>CT169*VLOOKUP('Données projet'!$B$13,Paramètres!$A$1:$I$89,3,0)*VLOOKUP('Données projet'!$B$13,Paramètres!$A$1:$I$89,5,0)</f>
        <v>-1.3523049346986227E-13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351.34897243264044</v>
      </c>
      <c r="CZ169" s="62">
        <f t="shared" si="150"/>
        <v>268.39685058071603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-5.6843418860808015E-14</v>
      </c>
      <c r="DP169" s="18">
        <f>DO169*VLOOKUP('Données projet'!$B$14,Paramètres!$A$1:$I$89,3,0)*VLOOKUP('Données projet'!$B$14,Paramètres!$A$1:$I$89,5,0)</f>
        <v>-3.813056537183002E-14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290.46086333591074</v>
      </c>
      <c r="DU169" s="62">
        <f t="shared" si="152"/>
        <v>236.8495901994267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-1.1368683772161603E-13</v>
      </c>
      <c r="EK169" s="18">
        <f>EJ169*VLOOKUP('Données projet'!$B$15,Paramètres!$A$1:$I$89,3,0)*VLOOKUP('Données projet'!$B$15,Paramètres!$A$1:$I$89,5,0)</f>
        <v>-9.2222762759774927E-14</v>
      </c>
      <c r="EL169" s="14" t="e">
        <f t="shared" si="179"/>
        <v>#NUM!</v>
      </c>
      <c r="EM169" s="22" t="e">
        <f t="shared" si="180"/>
        <v>#NUM!</v>
      </c>
      <c r="EN169" s="62" t="e">
        <f t="shared" si="128"/>
        <v>#NUM!</v>
      </c>
      <c r="EO169" s="62">
        <f ca="1">AVERAGE(OFFSET($EN$3,0,0,'Données projet'!$E$15+1,1))-AVERAGE(OFFSET($H$3,0,0,'Données projet'!$E$15+1,1))</f>
        <v>256.19915261735281</v>
      </c>
      <c r="EP169" s="62">
        <f t="shared" si="154"/>
        <v>297.47246687305056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-1.1368683772161603E-13</v>
      </c>
      <c r="O170" s="14">
        <f>N170*VLOOKUP('Données projet'!$B$9,Paramètres!$A$1:$I$89,3,0)*VLOOKUP('Données projet'!$B$9,Paramètres!$A$1:$I$89,5,0)</f>
        <v>-9.7543306765146564E-14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446.27304516866047</v>
      </c>
      <c r="T170" s="62">
        <f t="shared" si="142"/>
        <v>230.82970731138215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-3.4106051316484809E-13</v>
      </c>
      <c r="AJ170" s="14">
        <f>AI170*VLOOKUP('Données projet'!$B$10,Paramètres!$A$1:$I$89,3,0)*VLOOKUP('Données projet'!$B$10,Paramètres!$A$1:$I$89,5,0)</f>
        <v>-2.7134774427395314E-13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427.78067187784063</v>
      </c>
      <c r="AO170" s="62">
        <f t="shared" si="144"/>
        <v>464.22892523825118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1.7053025658242404E-13</v>
      </c>
      <c r="BE170" s="14">
        <f>BD170*VLOOKUP('Données projet'!$B$11,Paramètres!$A$1:$I$89,3,0)*VLOOKUP('Données projet'!$B$11,Paramètres!$A$1:$I$89,5,0)</f>
        <v>1.3301360013429075E-13</v>
      </c>
      <c r="BF170" s="14">
        <f t="shared" si="167"/>
        <v>1.9329766731057041E-12</v>
      </c>
      <c r="BG170" s="22">
        <f t="shared" si="168"/>
        <v>3.5982663925596575E-12</v>
      </c>
      <c r="BH170" s="62">
        <f t="shared" si="116"/>
        <v>293.3333333333369</v>
      </c>
      <c r="BI170" s="62">
        <f ca="1">AVERAGE(OFFSET($BH$3,0,0,'Données projet'!$E$11+1,1))-AVERAGE(OFFSET($H$3,0,0,'Données projet'!$E$11+1,1))</f>
        <v>312.09994042858187</v>
      </c>
      <c r="BJ170" s="62">
        <f t="shared" si="146"/>
        <v>283.48738729114024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-2.2737367544323206E-13</v>
      </c>
      <c r="BZ170" s="14">
        <f>BY170*VLOOKUP('Données projet'!$B$12,Paramètres!$A$1:$I$89,3,0)*VLOOKUP('Données projet'!$B$12,Paramètres!$A$1:$I$89,5,0)</f>
        <v>-1.8089849618263545E-13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370.79299728190904</v>
      </c>
      <c r="CE170" s="62">
        <f t="shared" si="148"/>
        <v>404.95703400805775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-1.4210854715202004E-13</v>
      </c>
      <c r="CU170" s="18">
        <f>CT170*VLOOKUP('Données projet'!$B$13,Paramètres!$A$1:$I$89,3,0)*VLOOKUP('Données projet'!$B$13,Paramètres!$A$1:$I$89,5,0)</f>
        <v>-1.3523049346986227E-13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351.34897243264044</v>
      </c>
      <c r="CZ170" s="62">
        <f t="shared" si="150"/>
        <v>268.39685058071603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-5.6843418860808015E-14</v>
      </c>
      <c r="DP170" s="18">
        <f>DO170*VLOOKUP('Données projet'!$B$14,Paramètres!$A$1:$I$89,3,0)*VLOOKUP('Données projet'!$B$14,Paramètres!$A$1:$I$89,5,0)</f>
        <v>-3.813056537183002E-14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290.46086333591074</v>
      </c>
      <c r="DU170" s="62">
        <f t="shared" si="152"/>
        <v>236.8495901994267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-1.1368683772161603E-13</v>
      </c>
      <c r="EK170" s="18">
        <f>EJ170*VLOOKUP('Données projet'!$B$15,Paramètres!$A$1:$I$89,3,0)*VLOOKUP('Données projet'!$B$15,Paramètres!$A$1:$I$89,5,0)</f>
        <v>-9.2222762759774927E-14</v>
      </c>
      <c r="EL170" s="14" t="e">
        <f t="shared" si="179"/>
        <v>#NUM!</v>
      </c>
      <c r="EM170" s="22" t="e">
        <f t="shared" si="180"/>
        <v>#NUM!</v>
      </c>
      <c r="EN170" s="62" t="e">
        <f t="shared" si="128"/>
        <v>#NUM!</v>
      </c>
      <c r="EO170" s="62">
        <f ca="1">AVERAGE(OFFSET($EN$3,0,0,'Données projet'!$E$15+1,1))-AVERAGE(OFFSET($H$3,0,0,'Données projet'!$E$15+1,1))</f>
        <v>256.19915261735281</v>
      </c>
      <c r="EP170" s="62">
        <f t="shared" si="154"/>
        <v>297.47246687305056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-1.1368683772161603E-13</v>
      </c>
      <c r="O171" s="14">
        <f>N171*VLOOKUP('Données projet'!$B$9,Paramètres!$A$1:$I$89,3,0)*VLOOKUP('Données projet'!$B$9,Paramètres!$A$1:$I$89,5,0)</f>
        <v>-9.7543306765146564E-14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446.27304516866047</v>
      </c>
      <c r="T171" s="62">
        <f t="shared" si="142"/>
        <v>230.82970731138215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-3.4106051316484809E-13</v>
      </c>
      <c r="AJ171" s="14">
        <f>AI171*VLOOKUP('Données projet'!$B$10,Paramètres!$A$1:$I$89,3,0)*VLOOKUP('Données projet'!$B$10,Paramètres!$A$1:$I$89,5,0)</f>
        <v>-2.7134774427395314E-13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427.78067187784063</v>
      </c>
      <c r="AO171" s="62">
        <f t="shared" si="144"/>
        <v>464.22892523825118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1.7053025658242404E-13</v>
      </c>
      <c r="BE171" s="14">
        <f>BD171*VLOOKUP('Données projet'!$B$11,Paramètres!$A$1:$I$89,3,0)*VLOOKUP('Données projet'!$B$11,Paramètres!$A$1:$I$89,5,0)</f>
        <v>1.3301360013429075E-13</v>
      </c>
      <c r="BF171" s="14">
        <f t="shared" si="167"/>
        <v>1.9329766731057041E-12</v>
      </c>
      <c r="BG171" s="22">
        <f t="shared" si="168"/>
        <v>3.5982663925596575E-12</v>
      </c>
      <c r="BH171" s="62">
        <f t="shared" si="116"/>
        <v>293.3333333333369</v>
      </c>
      <c r="BI171" s="62">
        <f ca="1">AVERAGE(OFFSET($BH$3,0,0,'Données projet'!$E$11+1,1))-AVERAGE(OFFSET($H$3,0,0,'Données projet'!$E$11+1,1))</f>
        <v>312.09994042858187</v>
      </c>
      <c r="BJ171" s="62">
        <f t="shared" si="146"/>
        <v>283.48738729114024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-2.2737367544323206E-13</v>
      </c>
      <c r="BZ171" s="14">
        <f>BY171*VLOOKUP('Données projet'!$B$12,Paramètres!$A$1:$I$89,3,0)*VLOOKUP('Données projet'!$B$12,Paramètres!$A$1:$I$89,5,0)</f>
        <v>-1.8089849618263545E-13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370.79299728190904</v>
      </c>
      <c r="CE171" s="62">
        <f t="shared" si="148"/>
        <v>404.95703400805775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-1.4210854715202004E-13</v>
      </c>
      <c r="CU171" s="18">
        <f>CT171*VLOOKUP('Données projet'!$B$13,Paramètres!$A$1:$I$89,3,0)*VLOOKUP('Données projet'!$B$13,Paramètres!$A$1:$I$89,5,0)</f>
        <v>-1.3523049346986227E-13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351.34897243264044</v>
      </c>
      <c r="CZ171" s="62">
        <f t="shared" si="150"/>
        <v>268.39685058071603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-5.6843418860808015E-14</v>
      </c>
      <c r="DP171" s="18">
        <f>DO171*VLOOKUP('Données projet'!$B$14,Paramètres!$A$1:$I$89,3,0)*VLOOKUP('Données projet'!$B$14,Paramètres!$A$1:$I$89,5,0)</f>
        <v>-3.813056537183002E-14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290.46086333591074</v>
      </c>
      <c r="DU171" s="62">
        <f t="shared" si="152"/>
        <v>236.8495901994267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-1.1368683772161603E-13</v>
      </c>
      <c r="EK171" s="18">
        <f>EJ171*VLOOKUP('Données projet'!$B$15,Paramètres!$A$1:$I$89,3,0)*VLOOKUP('Données projet'!$B$15,Paramètres!$A$1:$I$89,5,0)</f>
        <v>-9.2222762759774927E-14</v>
      </c>
      <c r="EL171" s="14" t="e">
        <f t="shared" si="179"/>
        <v>#NUM!</v>
      </c>
      <c r="EM171" s="22" t="e">
        <f t="shared" si="180"/>
        <v>#NUM!</v>
      </c>
      <c r="EN171" s="62" t="e">
        <f t="shared" si="128"/>
        <v>#NUM!</v>
      </c>
      <c r="EO171" s="62">
        <f ca="1">AVERAGE(OFFSET($EN$3,0,0,'Données projet'!$E$15+1,1))-AVERAGE(OFFSET($H$3,0,0,'Données projet'!$E$15+1,1))</f>
        <v>256.19915261735281</v>
      </c>
      <c r="EP171" s="62">
        <f t="shared" si="154"/>
        <v>297.47246687305056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-1.1368683772161603E-13</v>
      </c>
      <c r="O172" s="14">
        <f>N172*VLOOKUP('Données projet'!$B$9,Paramètres!$A$1:$I$89,3,0)*VLOOKUP('Données projet'!$B$9,Paramètres!$A$1:$I$89,5,0)</f>
        <v>-9.7543306765146564E-14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446.27304516866047</v>
      </c>
      <c r="T172" s="62">
        <f t="shared" si="142"/>
        <v>230.82970731138215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-3.4106051316484809E-13</v>
      </c>
      <c r="AJ172" s="14">
        <f>AI172*VLOOKUP('Données projet'!$B$10,Paramètres!$A$1:$I$89,3,0)*VLOOKUP('Données projet'!$B$10,Paramètres!$A$1:$I$89,5,0)</f>
        <v>-2.7134774427395314E-13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427.78067187784063</v>
      </c>
      <c r="AO172" s="62">
        <f t="shared" si="144"/>
        <v>464.22892523825118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1.7053025658242404E-13</v>
      </c>
      <c r="BE172" s="14">
        <f>BD172*VLOOKUP('Données projet'!$B$11,Paramètres!$A$1:$I$89,3,0)*VLOOKUP('Données projet'!$B$11,Paramètres!$A$1:$I$89,5,0)</f>
        <v>1.3301360013429075E-13</v>
      </c>
      <c r="BF172" s="14">
        <f t="shared" si="167"/>
        <v>1.9329766731057041E-12</v>
      </c>
      <c r="BG172" s="22">
        <f t="shared" si="168"/>
        <v>3.5982663925596575E-12</v>
      </c>
      <c r="BH172" s="62">
        <f t="shared" si="116"/>
        <v>293.3333333333369</v>
      </c>
      <c r="BI172" s="62">
        <f ca="1">AVERAGE(OFFSET($BH$3,0,0,'Données projet'!$E$11+1,1))-AVERAGE(OFFSET($H$3,0,0,'Données projet'!$E$11+1,1))</f>
        <v>312.09994042858187</v>
      </c>
      <c r="BJ172" s="62">
        <f t="shared" si="146"/>
        <v>283.48738729114024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-2.2737367544323206E-13</v>
      </c>
      <c r="BZ172" s="14">
        <f>BY172*VLOOKUP('Données projet'!$B$12,Paramètres!$A$1:$I$89,3,0)*VLOOKUP('Données projet'!$B$12,Paramètres!$A$1:$I$89,5,0)</f>
        <v>-1.8089849618263545E-13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370.79299728190904</v>
      </c>
      <c r="CE172" s="62">
        <f t="shared" si="148"/>
        <v>404.95703400805775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-1.4210854715202004E-13</v>
      </c>
      <c r="CU172" s="18">
        <f>CT172*VLOOKUP('Données projet'!$B$13,Paramètres!$A$1:$I$89,3,0)*VLOOKUP('Données projet'!$B$13,Paramètres!$A$1:$I$89,5,0)</f>
        <v>-1.3523049346986227E-13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351.34897243264044</v>
      </c>
      <c r="CZ172" s="62">
        <f t="shared" si="150"/>
        <v>268.39685058071603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-5.6843418860808015E-14</v>
      </c>
      <c r="DP172" s="18">
        <f>DO172*VLOOKUP('Données projet'!$B$14,Paramètres!$A$1:$I$89,3,0)*VLOOKUP('Données projet'!$B$14,Paramètres!$A$1:$I$89,5,0)</f>
        <v>-3.813056537183002E-14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290.46086333591074</v>
      </c>
      <c r="DU172" s="62">
        <f t="shared" si="152"/>
        <v>236.8495901994267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-1.1368683772161603E-13</v>
      </c>
      <c r="EK172" s="18">
        <f>EJ172*VLOOKUP('Données projet'!$B$15,Paramètres!$A$1:$I$89,3,0)*VLOOKUP('Données projet'!$B$15,Paramètres!$A$1:$I$89,5,0)</f>
        <v>-9.2222762759774927E-14</v>
      </c>
      <c r="EL172" s="14" t="e">
        <f t="shared" si="179"/>
        <v>#NUM!</v>
      </c>
      <c r="EM172" s="22" t="e">
        <f t="shared" si="180"/>
        <v>#NUM!</v>
      </c>
      <c r="EN172" s="62" t="e">
        <f t="shared" si="128"/>
        <v>#NUM!</v>
      </c>
      <c r="EO172" s="62">
        <f ca="1">AVERAGE(OFFSET($EN$3,0,0,'Données projet'!$E$15+1,1))-AVERAGE(OFFSET($H$3,0,0,'Données projet'!$E$15+1,1))</f>
        <v>256.19915261735281</v>
      </c>
      <c r="EP172" s="62">
        <f t="shared" si="154"/>
        <v>297.47246687305056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-1.1368683772161603E-13</v>
      </c>
      <c r="O173" s="14">
        <f>N173*VLOOKUP('Données projet'!$B$9,Paramètres!$A$1:$I$89,3,0)*VLOOKUP('Données projet'!$B$9,Paramètres!$A$1:$I$89,5,0)</f>
        <v>-9.7543306765146564E-14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446.27304516866047</v>
      </c>
      <c r="T173" s="62">
        <f t="shared" si="142"/>
        <v>230.82970731138215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-3.4106051316484809E-13</v>
      </c>
      <c r="AJ173" s="14">
        <f>AI173*VLOOKUP('Données projet'!$B$10,Paramètres!$A$1:$I$89,3,0)*VLOOKUP('Données projet'!$B$10,Paramètres!$A$1:$I$89,5,0)</f>
        <v>-2.7134774427395314E-13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427.78067187784063</v>
      </c>
      <c r="AO173" s="62">
        <f t="shared" si="144"/>
        <v>464.22892523825118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1.7053025658242404E-13</v>
      </c>
      <c r="BE173" s="14">
        <f>BD173*VLOOKUP('Données projet'!$B$11,Paramètres!$A$1:$I$89,3,0)*VLOOKUP('Données projet'!$B$11,Paramètres!$A$1:$I$89,5,0)</f>
        <v>1.3301360013429075E-13</v>
      </c>
      <c r="BF173" s="14">
        <f t="shared" si="167"/>
        <v>1.9329766731057041E-12</v>
      </c>
      <c r="BG173" s="22">
        <f t="shared" si="168"/>
        <v>3.5982663925596575E-12</v>
      </c>
      <c r="BH173" s="62">
        <f t="shared" si="116"/>
        <v>293.3333333333369</v>
      </c>
      <c r="BI173" s="62">
        <f ca="1">AVERAGE(OFFSET($BH$3,0,0,'Données projet'!$E$11+1,1))-AVERAGE(OFFSET($H$3,0,0,'Données projet'!$E$11+1,1))</f>
        <v>312.09994042858187</v>
      </c>
      <c r="BJ173" s="62">
        <f t="shared" si="146"/>
        <v>283.48738729114024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-2.2737367544323206E-13</v>
      </c>
      <c r="BZ173" s="14">
        <f>BY173*VLOOKUP('Données projet'!$B$12,Paramètres!$A$1:$I$89,3,0)*VLOOKUP('Données projet'!$B$12,Paramètres!$A$1:$I$89,5,0)</f>
        <v>-1.8089849618263545E-13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370.79299728190904</v>
      </c>
      <c r="CE173" s="62">
        <f t="shared" si="148"/>
        <v>404.95703400805775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-1.4210854715202004E-13</v>
      </c>
      <c r="CU173" s="18">
        <f>CT173*VLOOKUP('Données projet'!$B$13,Paramètres!$A$1:$I$89,3,0)*VLOOKUP('Données projet'!$B$13,Paramètres!$A$1:$I$89,5,0)</f>
        <v>-1.3523049346986227E-13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351.34897243264044</v>
      </c>
      <c r="CZ173" s="62">
        <f t="shared" si="150"/>
        <v>268.39685058071603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-5.6843418860808015E-14</v>
      </c>
      <c r="DP173" s="18">
        <f>DO173*VLOOKUP('Données projet'!$B$14,Paramètres!$A$1:$I$89,3,0)*VLOOKUP('Données projet'!$B$14,Paramètres!$A$1:$I$89,5,0)</f>
        <v>-3.813056537183002E-14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290.46086333591074</v>
      </c>
      <c r="DU173" s="62">
        <f t="shared" si="152"/>
        <v>236.8495901994267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-1.1368683772161603E-13</v>
      </c>
      <c r="EK173" s="18">
        <f>EJ173*VLOOKUP('Données projet'!$B$15,Paramètres!$A$1:$I$89,3,0)*VLOOKUP('Données projet'!$B$15,Paramètres!$A$1:$I$89,5,0)</f>
        <v>-9.2222762759774927E-14</v>
      </c>
      <c r="EL173" s="14" t="e">
        <f t="shared" si="179"/>
        <v>#NUM!</v>
      </c>
      <c r="EM173" s="22" t="e">
        <f t="shared" si="180"/>
        <v>#NUM!</v>
      </c>
      <c r="EN173" s="62" t="e">
        <f t="shared" si="128"/>
        <v>#NUM!</v>
      </c>
      <c r="EO173" s="62">
        <f ca="1">AVERAGE(OFFSET($EN$3,0,0,'Données projet'!$E$15+1,1))-AVERAGE(OFFSET($H$3,0,0,'Données projet'!$E$15+1,1))</f>
        <v>256.19915261735281</v>
      </c>
      <c r="EP173" s="62">
        <f t="shared" si="154"/>
        <v>297.47246687305056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-1.1368683772161603E-13</v>
      </c>
      <c r="O174" s="14">
        <f>N174*VLOOKUP('Données projet'!$B$9,Paramètres!$A$1:$I$89,3,0)*VLOOKUP('Données projet'!$B$9,Paramètres!$A$1:$I$89,5,0)</f>
        <v>-9.7543306765146564E-14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446.27304516866047</v>
      </c>
      <c r="T174" s="62">
        <f t="shared" si="142"/>
        <v>230.82970731138215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-3.4106051316484809E-13</v>
      </c>
      <c r="AJ174" s="14">
        <f>AI174*VLOOKUP('Données projet'!$B$10,Paramètres!$A$1:$I$89,3,0)*VLOOKUP('Données projet'!$B$10,Paramètres!$A$1:$I$89,5,0)</f>
        <v>-2.7134774427395314E-13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427.78067187784063</v>
      </c>
      <c r="AO174" s="62">
        <f t="shared" si="144"/>
        <v>464.22892523825118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1.7053025658242404E-13</v>
      </c>
      <c r="BE174" s="14">
        <f>BD174*VLOOKUP('Données projet'!$B$11,Paramètres!$A$1:$I$89,3,0)*VLOOKUP('Données projet'!$B$11,Paramètres!$A$1:$I$89,5,0)</f>
        <v>1.3301360013429075E-13</v>
      </c>
      <c r="BF174" s="14">
        <f t="shared" si="167"/>
        <v>1.9329766731057041E-12</v>
      </c>
      <c r="BG174" s="22">
        <f t="shared" si="168"/>
        <v>3.5982663925596575E-12</v>
      </c>
      <c r="BH174" s="62">
        <f t="shared" si="116"/>
        <v>293.3333333333369</v>
      </c>
      <c r="BI174" s="62">
        <f ca="1">AVERAGE(OFFSET($BH$3,0,0,'Données projet'!$E$11+1,1))-AVERAGE(OFFSET($H$3,0,0,'Données projet'!$E$11+1,1))</f>
        <v>312.09994042858187</v>
      </c>
      <c r="BJ174" s="62">
        <f t="shared" si="146"/>
        <v>283.48738729114024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-2.2737367544323206E-13</v>
      </c>
      <c r="BZ174" s="14">
        <f>BY174*VLOOKUP('Données projet'!$B$12,Paramètres!$A$1:$I$89,3,0)*VLOOKUP('Données projet'!$B$12,Paramètres!$A$1:$I$89,5,0)</f>
        <v>-1.8089849618263545E-13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370.79299728190904</v>
      </c>
      <c r="CE174" s="62">
        <f t="shared" si="148"/>
        <v>404.95703400805775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-1.4210854715202004E-13</v>
      </c>
      <c r="CU174" s="18">
        <f>CT174*VLOOKUP('Données projet'!$B$13,Paramètres!$A$1:$I$89,3,0)*VLOOKUP('Données projet'!$B$13,Paramètres!$A$1:$I$89,5,0)</f>
        <v>-1.3523049346986227E-13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351.34897243264044</v>
      </c>
      <c r="CZ174" s="62">
        <f t="shared" si="150"/>
        <v>268.39685058071603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-5.6843418860808015E-14</v>
      </c>
      <c r="DP174" s="18">
        <f>DO174*VLOOKUP('Données projet'!$B$14,Paramètres!$A$1:$I$89,3,0)*VLOOKUP('Données projet'!$B$14,Paramètres!$A$1:$I$89,5,0)</f>
        <v>-3.813056537183002E-14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290.46086333591074</v>
      </c>
      <c r="DU174" s="62">
        <f t="shared" si="152"/>
        <v>236.8495901994267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-1.1368683772161603E-13</v>
      </c>
      <c r="EK174" s="18">
        <f>EJ174*VLOOKUP('Données projet'!$B$15,Paramètres!$A$1:$I$89,3,0)*VLOOKUP('Données projet'!$B$15,Paramètres!$A$1:$I$89,5,0)</f>
        <v>-9.2222762759774927E-14</v>
      </c>
      <c r="EL174" s="14" t="e">
        <f t="shared" si="179"/>
        <v>#NUM!</v>
      </c>
      <c r="EM174" s="22" t="e">
        <f t="shared" si="180"/>
        <v>#NUM!</v>
      </c>
      <c r="EN174" s="62" t="e">
        <f t="shared" si="128"/>
        <v>#NUM!</v>
      </c>
      <c r="EO174" s="62">
        <f ca="1">AVERAGE(OFFSET($EN$3,0,0,'Données projet'!$E$15+1,1))-AVERAGE(OFFSET($H$3,0,0,'Données projet'!$E$15+1,1))</f>
        <v>256.19915261735281</v>
      </c>
      <c r="EP174" s="62">
        <f t="shared" si="154"/>
        <v>297.47246687305056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-1.1368683772161603E-13</v>
      </c>
      <c r="O175" s="14">
        <f>N175*VLOOKUP('Données projet'!$B$9,Paramètres!$A$1:$I$89,3,0)*VLOOKUP('Données projet'!$B$9,Paramètres!$A$1:$I$89,5,0)</f>
        <v>-9.7543306765146564E-14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446.27304516866047</v>
      </c>
      <c r="T175" s="62">
        <f t="shared" si="142"/>
        <v>230.82970731138215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-3.4106051316484809E-13</v>
      </c>
      <c r="AJ175" s="14">
        <f>AI175*VLOOKUP('Données projet'!$B$10,Paramètres!$A$1:$I$89,3,0)*VLOOKUP('Données projet'!$B$10,Paramètres!$A$1:$I$89,5,0)</f>
        <v>-2.7134774427395314E-13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427.78067187784063</v>
      </c>
      <c r="AO175" s="62">
        <f t="shared" si="144"/>
        <v>464.22892523825118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1.7053025658242404E-13</v>
      </c>
      <c r="BE175" s="14">
        <f>BD175*VLOOKUP('Données projet'!$B$11,Paramètres!$A$1:$I$89,3,0)*VLOOKUP('Données projet'!$B$11,Paramètres!$A$1:$I$89,5,0)</f>
        <v>1.3301360013429075E-13</v>
      </c>
      <c r="BF175" s="14">
        <f t="shared" si="167"/>
        <v>1.9329766731057041E-12</v>
      </c>
      <c r="BG175" s="22">
        <f t="shared" si="168"/>
        <v>3.5982663925596575E-12</v>
      </c>
      <c r="BH175" s="62">
        <f t="shared" si="116"/>
        <v>293.3333333333369</v>
      </c>
      <c r="BI175" s="62">
        <f ca="1">AVERAGE(OFFSET($BH$3,0,0,'Données projet'!$E$11+1,1))-AVERAGE(OFFSET($H$3,0,0,'Données projet'!$E$11+1,1))</f>
        <v>312.09994042858187</v>
      </c>
      <c r="BJ175" s="62">
        <f t="shared" si="146"/>
        <v>283.48738729114024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-2.2737367544323206E-13</v>
      </c>
      <c r="BZ175" s="14">
        <f>BY175*VLOOKUP('Données projet'!$B$12,Paramètres!$A$1:$I$89,3,0)*VLOOKUP('Données projet'!$B$12,Paramètres!$A$1:$I$89,5,0)</f>
        <v>-1.8089849618263545E-13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370.79299728190904</v>
      </c>
      <c r="CE175" s="62">
        <f t="shared" si="148"/>
        <v>404.95703400805775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-1.4210854715202004E-13</v>
      </c>
      <c r="CU175" s="18">
        <f>CT175*VLOOKUP('Données projet'!$B$13,Paramètres!$A$1:$I$89,3,0)*VLOOKUP('Données projet'!$B$13,Paramètres!$A$1:$I$89,5,0)</f>
        <v>-1.3523049346986227E-13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351.34897243264044</v>
      </c>
      <c r="CZ175" s="62">
        <f t="shared" si="150"/>
        <v>268.39685058071603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-5.6843418860808015E-14</v>
      </c>
      <c r="DP175" s="18">
        <f>DO175*VLOOKUP('Données projet'!$B$14,Paramètres!$A$1:$I$89,3,0)*VLOOKUP('Données projet'!$B$14,Paramètres!$A$1:$I$89,5,0)</f>
        <v>-3.813056537183002E-14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290.46086333591074</v>
      </c>
      <c r="DU175" s="62">
        <f t="shared" si="152"/>
        <v>236.8495901994267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-1.1368683772161603E-13</v>
      </c>
      <c r="EK175" s="18">
        <f>EJ175*VLOOKUP('Données projet'!$B$15,Paramètres!$A$1:$I$89,3,0)*VLOOKUP('Données projet'!$B$15,Paramètres!$A$1:$I$89,5,0)</f>
        <v>-9.2222762759774927E-14</v>
      </c>
      <c r="EL175" s="14" t="e">
        <f t="shared" si="179"/>
        <v>#NUM!</v>
      </c>
      <c r="EM175" s="22" t="e">
        <f t="shared" si="180"/>
        <v>#NUM!</v>
      </c>
      <c r="EN175" s="62" t="e">
        <f t="shared" si="128"/>
        <v>#NUM!</v>
      </c>
      <c r="EO175" s="62">
        <f ca="1">AVERAGE(OFFSET($EN$3,0,0,'Données projet'!$E$15+1,1))-AVERAGE(OFFSET($H$3,0,0,'Données projet'!$E$15+1,1))</f>
        <v>256.19915261735281</v>
      </c>
      <c r="EP175" s="62">
        <f t="shared" si="154"/>
        <v>297.47246687305056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-1.1368683772161603E-13</v>
      </c>
      <c r="O176" s="14">
        <f>N176*VLOOKUP('Données projet'!$B$9,Paramètres!$A$1:$I$89,3,0)*VLOOKUP('Données projet'!$B$9,Paramètres!$A$1:$I$89,5,0)</f>
        <v>-9.7543306765146564E-14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446.27304516866047</v>
      </c>
      <c r="T176" s="62">
        <f t="shared" si="142"/>
        <v>230.82970731138215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-3.4106051316484809E-13</v>
      </c>
      <c r="AJ176" s="14">
        <f>AI176*VLOOKUP('Données projet'!$B$10,Paramètres!$A$1:$I$89,3,0)*VLOOKUP('Données projet'!$B$10,Paramètres!$A$1:$I$89,5,0)</f>
        <v>-2.7134774427395314E-13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427.78067187784063</v>
      </c>
      <c r="AO176" s="62">
        <f t="shared" si="144"/>
        <v>464.22892523825118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1.7053025658242404E-13</v>
      </c>
      <c r="BE176" s="14">
        <f>BD176*VLOOKUP('Données projet'!$B$11,Paramètres!$A$1:$I$89,3,0)*VLOOKUP('Données projet'!$B$11,Paramètres!$A$1:$I$89,5,0)</f>
        <v>1.3301360013429075E-13</v>
      </c>
      <c r="BF176" s="14">
        <f t="shared" si="167"/>
        <v>1.9329766731057041E-12</v>
      </c>
      <c r="BG176" s="22">
        <f t="shared" si="168"/>
        <v>3.5982663925596575E-12</v>
      </c>
      <c r="BH176" s="62">
        <f t="shared" si="116"/>
        <v>293.3333333333369</v>
      </c>
      <c r="BI176" s="62">
        <f ca="1">AVERAGE(OFFSET($BH$3,0,0,'Données projet'!$E$11+1,1))-AVERAGE(OFFSET($H$3,0,0,'Données projet'!$E$11+1,1))</f>
        <v>312.09994042858187</v>
      </c>
      <c r="BJ176" s="62">
        <f t="shared" si="146"/>
        <v>283.48738729114024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-2.2737367544323206E-13</v>
      </c>
      <c r="BZ176" s="14">
        <f>BY176*VLOOKUP('Données projet'!$B$12,Paramètres!$A$1:$I$89,3,0)*VLOOKUP('Données projet'!$B$12,Paramètres!$A$1:$I$89,5,0)</f>
        <v>-1.8089849618263545E-13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370.79299728190904</v>
      </c>
      <c r="CE176" s="62">
        <f t="shared" si="148"/>
        <v>404.95703400805775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-1.4210854715202004E-13</v>
      </c>
      <c r="CU176" s="18">
        <f>CT176*VLOOKUP('Données projet'!$B$13,Paramètres!$A$1:$I$89,3,0)*VLOOKUP('Données projet'!$B$13,Paramètres!$A$1:$I$89,5,0)</f>
        <v>-1.3523049346986227E-13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351.34897243264044</v>
      </c>
      <c r="CZ176" s="62">
        <f t="shared" si="150"/>
        <v>268.39685058071603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-5.6843418860808015E-14</v>
      </c>
      <c r="DP176" s="18">
        <f>DO176*VLOOKUP('Données projet'!$B$14,Paramètres!$A$1:$I$89,3,0)*VLOOKUP('Données projet'!$B$14,Paramètres!$A$1:$I$89,5,0)</f>
        <v>-3.813056537183002E-14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290.46086333591074</v>
      </c>
      <c r="DU176" s="62">
        <f t="shared" si="152"/>
        <v>236.8495901994267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-1.1368683772161603E-13</v>
      </c>
      <c r="EK176" s="18">
        <f>EJ176*VLOOKUP('Données projet'!$B$15,Paramètres!$A$1:$I$89,3,0)*VLOOKUP('Données projet'!$B$15,Paramètres!$A$1:$I$89,5,0)</f>
        <v>-9.2222762759774927E-14</v>
      </c>
      <c r="EL176" s="14" t="e">
        <f t="shared" si="179"/>
        <v>#NUM!</v>
      </c>
      <c r="EM176" s="22" t="e">
        <f t="shared" si="180"/>
        <v>#NUM!</v>
      </c>
      <c r="EN176" s="62" t="e">
        <f t="shared" si="128"/>
        <v>#NUM!</v>
      </c>
      <c r="EO176" s="62">
        <f ca="1">AVERAGE(OFFSET($EN$3,0,0,'Données projet'!$E$15+1,1))-AVERAGE(OFFSET($H$3,0,0,'Données projet'!$E$15+1,1))</f>
        <v>256.19915261735281</v>
      </c>
      <c r="EP176" s="62">
        <f t="shared" si="154"/>
        <v>297.47246687305056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-1.1368683772161603E-13</v>
      </c>
      <c r="O177" s="14">
        <f>N177*VLOOKUP('Données projet'!$B$9,Paramètres!$A$1:$I$89,3,0)*VLOOKUP('Données projet'!$B$9,Paramètres!$A$1:$I$89,5,0)</f>
        <v>-9.7543306765146564E-14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446.27304516866047</v>
      </c>
      <c r="T177" s="62">
        <f t="shared" si="142"/>
        <v>230.82970731138215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-3.4106051316484809E-13</v>
      </c>
      <c r="AJ177" s="14">
        <f>AI177*VLOOKUP('Données projet'!$B$10,Paramètres!$A$1:$I$89,3,0)*VLOOKUP('Données projet'!$B$10,Paramètres!$A$1:$I$89,5,0)</f>
        <v>-2.7134774427395314E-13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427.78067187784063</v>
      </c>
      <c r="AO177" s="62">
        <f t="shared" si="144"/>
        <v>464.22892523825118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1.7053025658242404E-13</v>
      </c>
      <c r="BE177" s="14">
        <f>BD177*VLOOKUP('Données projet'!$B$11,Paramètres!$A$1:$I$89,3,0)*VLOOKUP('Données projet'!$B$11,Paramètres!$A$1:$I$89,5,0)</f>
        <v>1.3301360013429075E-13</v>
      </c>
      <c r="BF177" s="14">
        <f t="shared" si="167"/>
        <v>1.9329766731057041E-12</v>
      </c>
      <c r="BG177" s="22">
        <f t="shared" si="168"/>
        <v>3.5982663925596575E-12</v>
      </c>
      <c r="BH177" s="62">
        <f t="shared" si="116"/>
        <v>293.3333333333369</v>
      </c>
      <c r="BI177" s="62">
        <f ca="1">AVERAGE(OFFSET($BH$3,0,0,'Données projet'!$E$11+1,1))-AVERAGE(OFFSET($H$3,0,0,'Données projet'!$E$11+1,1))</f>
        <v>312.09994042858187</v>
      </c>
      <c r="BJ177" s="62">
        <f t="shared" si="146"/>
        <v>283.48738729114024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-2.2737367544323206E-13</v>
      </c>
      <c r="BZ177" s="14">
        <f>BY177*VLOOKUP('Données projet'!$B$12,Paramètres!$A$1:$I$89,3,0)*VLOOKUP('Données projet'!$B$12,Paramètres!$A$1:$I$89,5,0)</f>
        <v>-1.8089849618263545E-13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370.79299728190904</v>
      </c>
      <c r="CE177" s="62">
        <f t="shared" si="148"/>
        <v>404.95703400805775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-1.4210854715202004E-13</v>
      </c>
      <c r="CU177" s="18">
        <f>CT177*VLOOKUP('Données projet'!$B$13,Paramètres!$A$1:$I$89,3,0)*VLOOKUP('Données projet'!$B$13,Paramètres!$A$1:$I$89,5,0)</f>
        <v>-1.3523049346986227E-13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351.34897243264044</v>
      </c>
      <c r="CZ177" s="62">
        <f t="shared" si="150"/>
        <v>268.39685058071603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-5.6843418860808015E-14</v>
      </c>
      <c r="DP177" s="18">
        <f>DO177*VLOOKUP('Données projet'!$B$14,Paramètres!$A$1:$I$89,3,0)*VLOOKUP('Données projet'!$B$14,Paramètres!$A$1:$I$89,5,0)</f>
        <v>-3.813056537183002E-14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290.46086333591074</v>
      </c>
      <c r="DU177" s="62">
        <f t="shared" si="152"/>
        <v>236.8495901994267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-1.1368683772161603E-13</v>
      </c>
      <c r="EK177" s="18">
        <f>EJ177*VLOOKUP('Données projet'!$B$15,Paramètres!$A$1:$I$89,3,0)*VLOOKUP('Données projet'!$B$15,Paramètres!$A$1:$I$89,5,0)</f>
        <v>-9.2222762759774927E-14</v>
      </c>
      <c r="EL177" s="14" t="e">
        <f t="shared" si="179"/>
        <v>#NUM!</v>
      </c>
      <c r="EM177" s="22" t="e">
        <f t="shared" si="180"/>
        <v>#NUM!</v>
      </c>
      <c r="EN177" s="62" t="e">
        <f t="shared" si="128"/>
        <v>#NUM!</v>
      </c>
      <c r="EO177" s="62">
        <f ca="1">AVERAGE(OFFSET($EN$3,0,0,'Données projet'!$E$15+1,1))-AVERAGE(OFFSET($H$3,0,0,'Données projet'!$E$15+1,1))</f>
        <v>256.19915261735281</v>
      </c>
      <c r="EP177" s="62">
        <f t="shared" si="154"/>
        <v>297.47246687305056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-1.1368683772161603E-13</v>
      </c>
      <c r="O178" s="14">
        <f>N178*VLOOKUP('Données projet'!$B$9,Paramètres!$A$1:$I$89,3,0)*VLOOKUP('Données projet'!$B$9,Paramètres!$A$1:$I$89,5,0)</f>
        <v>-9.7543306765146564E-14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446.27304516866047</v>
      </c>
      <c r="T178" s="62">
        <f t="shared" si="142"/>
        <v>230.82970731138215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-3.4106051316484809E-13</v>
      </c>
      <c r="AJ178" s="14">
        <f>AI178*VLOOKUP('Données projet'!$B$10,Paramètres!$A$1:$I$89,3,0)*VLOOKUP('Données projet'!$B$10,Paramètres!$A$1:$I$89,5,0)</f>
        <v>-2.7134774427395314E-13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427.78067187784063</v>
      </c>
      <c r="AO178" s="62">
        <f t="shared" si="144"/>
        <v>464.22892523825118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1.7053025658242404E-13</v>
      </c>
      <c r="BE178" s="14">
        <f>BD178*VLOOKUP('Données projet'!$B$11,Paramètres!$A$1:$I$89,3,0)*VLOOKUP('Données projet'!$B$11,Paramètres!$A$1:$I$89,5,0)</f>
        <v>1.3301360013429075E-13</v>
      </c>
      <c r="BF178" s="14">
        <f t="shared" si="167"/>
        <v>1.9329766731057041E-12</v>
      </c>
      <c r="BG178" s="22">
        <f t="shared" si="168"/>
        <v>3.5982663925596575E-12</v>
      </c>
      <c r="BH178" s="62">
        <f t="shared" si="116"/>
        <v>293.3333333333369</v>
      </c>
      <c r="BI178" s="62">
        <f ca="1">AVERAGE(OFFSET($BH$3,0,0,'Données projet'!$E$11+1,1))-AVERAGE(OFFSET($H$3,0,0,'Données projet'!$E$11+1,1))</f>
        <v>312.09994042858187</v>
      </c>
      <c r="BJ178" s="62">
        <f t="shared" si="146"/>
        <v>283.48738729114024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-2.2737367544323206E-13</v>
      </c>
      <c r="BZ178" s="14">
        <f>BY178*VLOOKUP('Données projet'!$B$12,Paramètres!$A$1:$I$89,3,0)*VLOOKUP('Données projet'!$B$12,Paramètres!$A$1:$I$89,5,0)</f>
        <v>-1.8089849618263545E-13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370.79299728190904</v>
      </c>
      <c r="CE178" s="62">
        <f t="shared" si="148"/>
        <v>404.95703400805775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-1.4210854715202004E-13</v>
      </c>
      <c r="CU178" s="18">
        <f>CT178*VLOOKUP('Données projet'!$B$13,Paramètres!$A$1:$I$89,3,0)*VLOOKUP('Données projet'!$B$13,Paramètres!$A$1:$I$89,5,0)</f>
        <v>-1.3523049346986227E-13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351.34897243264044</v>
      </c>
      <c r="CZ178" s="62">
        <f t="shared" si="150"/>
        <v>268.39685058071603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-5.6843418860808015E-14</v>
      </c>
      <c r="DP178" s="18">
        <f>DO178*VLOOKUP('Données projet'!$B$14,Paramètres!$A$1:$I$89,3,0)*VLOOKUP('Données projet'!$B$14,Paramètres!$A$1:$I$89,5,0)</f>
        <v>-3.813056537183002E-14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290.46086333591074</v>
      </c>
      <c r="DU178" s="62">
        <f t="shared" si="152"/>
        <v>236.8495901994267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-1.1368683772161603E-13</v>
      </c>
      <c r="EK178" s="18">
        <f>EJ178*VLOOKUP('Données projet'!$B$15,Paramètres!$A$1:$I$89,3,0)*VLOOKUP('Données projet'!$B$15,Paramètres!$A$1:$I$89,5,0)</f>
        <v>-9.2222762759774927E-14</v>
      </c>
      <c r="EL178" s="14" t="e">
        <f t="shared" si="179"/>
        <v>#NUM!</v>
      </c>
      <c r="EM178" s="22" t="e">
        <f t="shared" si="180"/>
        <v>#NUM!</v>
      </c>
      <c r="EN178" s="62" t="e">
        <f t="shared" si="128"/>
        <v>#NUM!</v>
      </c>
      <c r="EO178" s="62">
        <f ca="1">AVERAGE(OFFSET($EN$3,0,0,'Données projet'!$E$15+1,1))-AVERAGE(OFFSET($H$3,0,0,'Données projet'!$E$15+1,1))</f>
        <v>256.19915261735281</v>
      </c>
      <c r="EP178" s="62">
        <f t="shared" si="154"/>
        <v>297.47246687305056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-1.1368683772161603E-13</v>
      </c>
      <c r="O179" s="14">
        <f>N179*VLOOKUP('Données projet'!$B$9,Paramètres!$A$1:$I$89,3,0)*VLOOKUP('Données projet'!$B$9,Paramètres!$A$1:$I$89,5,0)</f>
        <v>-9.7543306765146564E-14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446.27304516866047</v>
      </c>
      <c r="T179" s="62">
        <f t="shared" si="142"/>
        <v>230.82970731138215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-3.4106051316484809E-13</v>
      </c>
      <c r="AJ179" s="14">
        <f>AI179*VLOOKUP('Données projet'!$B$10,Paramètres!$A$1:$I$89,3,0)*VLOOKUP('Données projet'!$B$10,Paramètres!$A$1:$I$89,5,0)</f>
        <v>-2.7134774427395314E-13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427.78067187784063</v>
      </c>
      <c r="AO179" s="62">
        <f t="shared" si="144"/>
        <v>464.22892523825118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1.7053025658242404E-13</v>
      </c>
      <c r="BE179" s="14">
        <f>BD179*VLOOKUP('Données projet'!$B$11,Paramètres!$A$1:$I$89,3,0)*VLOOKUP('Données projet'!$B$11,Paramètres!$A$1:$I$89,5,0)</f>
        <v>1.3301360013429075E-13</v>
      </c>
      <c r="BF179" s="14">
        <f t="shared" si="167"/>
        <v>1.9329766731057041E-12</v>
      </c>
      <c r="BG179" s="22">
        <f t="shared" si="168"/>
        <v>3.5982663925596575E-12</v>
      </c>
      <c r="BH179" s="62">
        <f t="shared" si="116"/>
        <v>293.3333333333369</v>
      </c>
      <c r="BI179" s="62">
        <f ca="1">AVERAGE(OFFSET($BH$3,0,0,'Données projet'!$E$11+1,1))-AVERAGE(OFFSET($H$3,0,0,'Données projet'!$E$11+1,1))</f>
        <v>312.09994042858187</v>
      </c>
      <c r="BJ179" s="62">
        <f t="shared" si="146"/>
        <v>283.48738729114024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-2.2737367544323206E-13</v>
      </c>
      <c r="BZ179" s="14">
        <f>BY179*VLOOKUP('Données projet'!$B$12,Paramètres!$A$1:$I$89,3,0)*VLOOKUP('Données projet'!$B$12,Paramètres!$A$1:$I$89,5,0)</f>
        <v>-1.8089849618263545E-13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370.79299728190904</v>
      </c>
      <c r="CE179" s="62">
        <f t="shared" si="148"/>
        <v>404.95703400805775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-1.4210854715202004E-13</v>
      </c>
      <c r="CU179" s="18">
        <f>CT179*VLOOKUP('Données projet'!$B$13,Paramètres!$A$1:$I$89,3,0)*VLOOKUP('Données projet'!$B$13,Paramètres!$A$1:$I$89,5,0)</f>
        <v>-1.3523049346986227E-13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351.34897243264044</v>
      </c>
      <c r="CZ179" s="62">
        <f t="shared" si="150"/>
        <v>268.39685058071603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-5.6843418860808015E-14</v>
      </c>
      <c r="DP179" s="18">
        <f>DO179*VLOOKUP('Données projet'!$B$14,Paramètres!$A$1:$I$89,3,0)*VLOOKUP('Données projet'!$B$14,Paramètres!$A$1:$I$89,5,0)</f>
        <v>-3.813056537183002E-14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290.46086333591074</v>
      </c>
      <c r="DU179" s="62">
        <f t="shared" si="152"/>
        <v>236.8495901994267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-1.1368683772161603E-13</v>
      </c>
      <c r="EK179" s="18">
        <f>EJ179*VLOOKUP('Données projet'!$B$15,Paramètres!$A$1:$I$89,3,0)*VLOOKUP('Données projet'!$B$15,Paramètres!$A$1:$I$89,5,0)</f>
        <v>-9.2222762759774927E-14</v>
      </c>
      <c r="EL179" s="14" t="e">
        <f t="shared" si="179"/>
        <v>#NUM!</v>
      </c>
      <c r="EM179" s="22" t="e">
        <f t="shared" si="180"/>
        <v>#NUM!</v>
      </c>
      <c r="EN179" s="62" t="e">
        <f t="shared" si="128"/>
        <v>#NUM!</v>
      </c>
      <c r="EO179" s="62">
        <f ca="1">AVERAGE(OFFSET($EN$3,0,0,'Données projet'!$E$15+1,1))-AVERAGE(OFFSET($H$3,0,0,'Données projet'!$E$15+1,1))</f>
        <v>256.19915261735281</v>
      </c>
      <c r="EP179" s="62">
        <f t="shared" si="154"/>
        <v>297.47246687305056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-1.1368683772161603E-13</v>
      </c>
      <c r="O180" s="14">
        <f>N180*VLOOKUP('Données projet'!$B$9,Paramètres!$A$1:$I$89,3,0)*VLOOKUP('Données projet'!$B$9,Paramètres!$A$1:$I$89,5,0)</f>
        <v>-9.7543306765146564E-14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446.27304516866047</v>
      </c>
      <c r="T180" s="62">
        <f t="shared" si="142"/>
        <v>230.82970731138215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-3.4106051316484809E-13</v>
      </c>
      <c r="AJ180" s="14">
        <f>AI180*VLOOKUP('Données projet'!$B$10,Paramètres!$A$1:$I$89,3,0)*VLOOKUP('Données projet'!$B$10,Paramètres!$A$1:$I$89,5,0)</f>
        <v>-2.7134774427395314E-13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427.78067187784063</v>
      </c>
      <c r="AO180" s="62">
        <f t="shared" si="144"/>
        <v>464.22892523825118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1.7053025658242404E-13</v>
      </c>
      <c r="BE180" s="14">
        <f>BD180*VLOOKUP('Données projet'!$B$11,Paramètres!$A$1:$I$89,3,0)*VLOOKUP('Données projet'!$B$11,Paramètres!$A$1:$I$89,5,0)</f>
        <v>1.3301360013429075E-13</v>
      </c>
      <c r="BF180" s="14">
        <f t="shared" si="167"/>
        <v>1.9329766731057041E-12</v>
      </c>
      <c r="BG180" s="22">
        <f t="shared" si="168"/>
        <v>3.5982663925596575E-12</v>
      </c>
      <c r="BH180" s="62">
        <f t="shared" si="116"/>
        <v>293.3333333333369</v>
      </c>
      <c r="BI180" s="62">
        <f ca="1">AVERAGE(OFFSET($BH$3,0,0,'Données projet'!$E$11+1,1))-AVERAGE(OFFSET($H$3,0,0,'Données projet'!$E$11+1,1))</f>
        <v>312.09994042858187</v>
      </c>
      <c r="BJ180" s="62">
        <f t="shared" si="146"/>
        <v>283.48738729114024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-2.2737367544323206E-13</v>
      </c>
      <c r="BZ180" s="14">
        <f>BY180*VLOOKUP('Données projet'!$B$12,Paramètres!$A$1:$I$89,3,0)*VLOOKUP('Données projet'!$B$12,Paramètres!$A$1:$I$89,5,0)</f>
        <v>-1.8089849618263545E-13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370.79299728190904</v>
      </c>
      <c r="CE180" s="62">
        <f t="shared" si="148"/>
        <v>404.95703400805775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-1.4210854715202004E-13</v>
      </c>
      <c r="CU180" s="18">
        <f>CT180*VLOOKUP('Données projet'!$B$13,Paramètres!$A$1:$I$89,3,0)*VLOOKUP('Données projet'!$B$13,Paramètres!$A$1:$I$89,5,0)</f>
        <v>-1.3523049346986227E-13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351.34897243264044</v>
      </c>
      <c r="CZ180" s="62">
        <f t="shared" si="150"/>
        <v>268.39685058071603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-5.6843418860808015E-14</v>
      </c>
      <c r="DP180" s="18">
        <f>DO180*VLOOKUP('Données projet'!$B$14,Paramètres!$A$1:$I$89,3,0)*VLOOKUP('Données projet'!$B$14,Paramètres!$A$1:$I$89,5,0)</f>
        <v>-3.813056537183002E-14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290.46086333591074</v>
      </c>
      <c r="DU180" s="62">
        <f t="shared" si="152"/>
        <v>236.8495901994267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-1.1368683772161603E-13</v>
      </c>
      <c r="EK180" s="18">
        <f>EJ180*VLOOKUP('Données projet'!$B$15,Paramètres!$A$1:$I$89,3,0)*VLOOKUP('Données projet'!$B$15,Paramètres!$A$1:$I$89,5,0)</f>
        <v>-9.2222762759774927E-14</v>
      </c>
      <c r="EL180" s="14" t="e">
        <f t="shared" si="179"/>
        <v>#NUM!</v>
      </c>
      <c r="EM180" s="22" t="e">
        <f t="shared" si="180"/>
        <v>#NUM!</v>
      </c>
      <c r="EN180" s="62" t="e">
        <f t="shared" si="128"/>
        <v>#NUM!</v>
      </c>
      <c r="EO180" s="62">
        <f ca="1">AVERAGE(OFFSET($EN$3,0,0,'Données projet'!$E$15+1,1))-AVERAGE(OFFSET($H$3,0,0,'Données projet'!$E$15+1,1))</f>
        <v>256.19915261735281</v>
      </c>
      <c r="EP180" s="62">
        <f t="shared" si="154"/>
        <v>297.47246687305056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-1.1368683772161603E-13</v>
      </c>
      <c r="O181" s="14">
        <f>N181*VLOOKUP('Données projet'!$B$9,Paramètres!$A$1:$I$89,3,0)*VLOOKUP('Données projet'!$B$9,Paramètres!$A$1:$I$89,5,0)</f>
        <v>-9.7543306765146564E-14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446.27304516866047</v>
      </c>
      <c r="T181" s="62">
        <f t="shared" si="142"/>
        <v>230.82970731138215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-3.4106051316484809E-13</v>
      </c>
      <c r="AJ181" s="14">
        <f>AI181*VLOOKUP('Données projet'!$B$10,Paramètres!$A$1:$I$89,3,0)*VLOOKUP('Données projet'!$B$10,Paramètres!$A$1:$I$89,5,0)</f>
        <v>-2.7134774427395314E-13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427.78067187784063</v>
      </c>
      <c r="AO181" s="62">
        <f t="shared" si="144"/>
        <v>464.22892523825118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1.7053025658242404E-13</v>
      </c>
      <c r="BE181" s="14">
        <f>BD181*VLOOKUP('Données projet'!$B$11,Paramètres!$A$1:$I$89,3,0)*VLOOKUP('Données projet'!$B$11,Paramètres!$A$1:$I$89,5,0)</f>
        <v>1.3301360013429075E-13</v>
      </c>
      <c r="BF181" s="14">
        <f t="shared" si="167"/>
        <v>1.9329766731057041E-12</v>
      </c>
      <c r="BG181" s="22">
        <f t="shared" si="168"/>
        <v>3.5982663925596575E-12</v>
      </c>
      <c r="BH181" s="62">
        <f t="shared" si="116"/>
        <v>293.3333333333369</v>
      </c>
      <c r="BI181" s="62">
        <f ca="1">AVERAGE(OFFSET($BH$3,0,0,'Données projet'!$E$11+1,1))-AVERAGE(OFFSET($H$3,0,0,'Données projet'!$E$11+1,1))</f>
        <v>312.09994042858187</v>
      </c>
      <c r="BJ181" s="62">
        <f t="shared" si="146"/>
        <v>283.48738729114024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-2.2737367544323206E-13</v>
      </c>
      <c r="BZ181" s="14">
        <f>BY181*VLOOKUP('Données projet'!$B$12,Paramètres!$A$1:$I$89,3,0)*VLOOKUP('Données projet'!$B$12,Paramètres!$A$1:$I$89,5,0)</f>
        <v>-1.8089849618263545E-13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370.79299728190904</v>
      </c>
      <c r="CE181" s="62">
        <f t="shared" si="148"/>
        <v>404.95703400805775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-1.4210854715202004E-13</v>
      </c>
      <c r="CU181" s="18">
        <f>CT181*VLOOKUP('Données projet'!$B$13,Paramètres!$A$1:$I$89,3,0)*VLOOKUP('Données projet'!$B$13,Paramètres!$A$1:$I$89,5,0)</f>
        <v>-1.3523049346986227E-13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351.34897243264044</v>
      </c>
      <c r="CZ181" s="62">
        <f t="shared" si="150"/>
        <v>268.39685058071603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-5.6843418860808015E-14</v>
      </c>
      <c r="DP181" s="18">
        <f>DO181*VLOOKUP('Données projet'!$B$14,Paramètres!$A$1:$I$89,3,0)*VLOOKUP('Données projet'!$B$14,Paramètres!$A$1:$I$89,5,0)</f>
        <v>-3.813056537183002E-14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290.46086333591074</v>
      </c>
      <c r="DU181" s="62">
        <f t="shared" si="152"/>
        <v>236.8495901994267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-1.1368683772161603E-13</v>
      </c>
      <c r="EK181" s="18">
        <f>EJ181*VLOOKUP('Données projet'!$B$15,Paramètres!$A$1:$I$89,3,0)*VLOOKUP('Données projet'!$B$15,Paramètres!$A$1:$I$89,5,0)</f>
        <v>-9.2222762759774927E-14</v>
      </c>
      <c r="EL181" s="14" t="e">
        <f t="shared" si="179"/>
        <v>#NUM!</v>
      </c>
      <c r="EM181" s="22" t="e">
        <f t="shared" si="180"/>
        <v>#NUM!</v>
      </c>
      <c r="EN181" s="62" t="e">
        <f t="shared" si="128"/>
        <v>#NUM!</v>
      </c>
      <c r="EO181" s="62">
        <f ca="1">AVERAGE(OFFSET($EN$3,0,0,'Données projet'!$E$15+1,1))-AVERAGE(OFFSET($H$3,0,0,'Données projet'!$E$15+1,1))</f>
        <v>256.19915261735281</v>
      </c>
      <c r="EP181" s="62">
        <f t="shared" si="154"/>
        <v>297.47246687305056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-1.1368683772161603E-13</v>
      </c>
      <c r="O182" s="14">
        <f>N182*VLOOKUP('Données projet'!$B$9,Paramètres!$A$1:$I$89,3,0)*VLOOKUP('Données projet'!$B$9,Paramètres!$A$1:$I$89,5,0)</f>
        <v>-9.7543306765146564E-14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446.27304516866047</v>
      </c>
      <c r="T182" s="62">
        <f t="shared" si="142"/>
        <v>230.82970731138215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-3.4106051316484809E-13</v>
      </c>
      <c r="AJ182" s="14">
        <f>AI182*VLOOKUP('Données projet'!$B$10,Paramètres!$A$1:$I$89,3,0)*VLOOKUP('Données projet'!$B$10,Paramètres!$A$1:$I$89,5,0)</f>
        <v>-2.7134774427395314E-13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427.78067187784063</v>
      </c>
      <c r="AO182" s="62">
        <f t="shared" si="144"/>
        <v>464.22892523825118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1.7053025658242404E-13</v>
      </c>
      <c r="BE182" s="14">
        <f>BD182*VLOOKUP('Données projet'!$B$11,Paramètres!$A$1:$I$89,3,0)*VLOOKUP('Données projet'!$B$11,Paramètres!$A$1:$I$89,5,0)</f>
        <v>1.3301360013429075E-13</v>
      </c>
      <c r="BF182" s="14">
        <f t="shared" si="167"/>
        <v>1.9329766731057041E-12</v>
      </c>
      <c r="BG182" s="22">
        <f t="shared" si="168"/>
        <v>3.5982663925596575E-12</v>
      </c>
      <c r="BH182" s="62">
        <f t="shared" si="116"/>
        <v>293.3333333333369</v>
      </c>
      <c r="BI182" s="62">
        <f ca="1">AVERAGE(OFFSET($BH$3,0,0,'Données projet'!$E$11+1,1))-AVERAGE(OFFSET($H$3,0,0,'Données projet'!$E$11+1,1))</f>
        <v>312.09994042858187</v>
      </c>
      <c r="BJ182" s="62">
        <f t="shared" si="146"/>
        <v>283.48738729114024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-2.2737367544323206E-13</v>
      </c>
      <c r="BZ182" s="14">
        <f>BY182*VLOOKUP('Données projet'!$B$12,Paramètres!$A$1:$I$89,3,0)*VLOOKUP('Données projet'!$B$12,Paramètres!$A$1:$I$89,5,0)</f>
        <v>-1.8089849618263545E-13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370.79299728190904</v>
      </c>
      <c r="CE182" s="62">
        <f t="shared" si="148"/>
        <v>404.95703400805775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-1.4210854715202004E-13</v>
      </c>
      <c r="CU182" s="18">
        <f>CT182*VLOOKUP('Données projet'!$B$13,Paramètres!$A$1:$I$89,3,0)*VLOOKUP('Données projet'!$B$13,Paramètres!$A$1:$I$89,5,0)</f>
        <v>-1.3523049346986227E-13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351.34897243264044</v>
      </c>
      <c r="CZ182" s="62">
        <f t="shared" si="150"/>
        <v>268.39685058071603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-5.6843418860808015E-14</v>
      </c>
      <c r="DP182" s="18">
        <f>DO182*VLOOKUP('Données projet'!$B$14,Paramètres!$A$1:$I$89,3,0)*VLOOKUP('Données projet'!$B$14,Paramètres!$A$1:$I$89,5,0)</f>
        <v>-3.813056537183002E-14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290.46086333591074</v>
      </c>
      <c r="DU182" s="62">
        <f t="shared" si="152"/>
        <v>236.8495901994267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-1.1368683772161603E-13</v>
      </c>
      <c r="EK182" s="18">
        <f>EJ182*VLOOKUP('Données projet'!$B$15,Paramètres!$A$1:$I$89,3,0)*VLOOKUP('Données projet'!$B$15,Paramètres!$A$1:$I$89,5,0)</f>
        <v>-9.2222762759774927E-14</v>
      </c>
      <c r="EL182" s="14" t="e">
        <f t="shared" si="179"/>
        <v>#NUM!</v>
      </c>
      <c r="EM182" s="22" t="e">
        <f t="shared" si="180"/>
        <v>#NUM!</v>
      </c>
      <c r="EN182" s="62" t="e">
        <f t="shared" si="128"/>
        <v>#NUM!</v>
      </c>
      <c r="EO182" s="62">
        <f ca="1">AVERAGE(OFFSET($EN$3,0,0,'Données projet'!$E$15+1,1))-AVERAGE(OFFSET($H$3,0,0,'Données projet'!$E$15+1,1))</f>
        <v>256.19915261735281</v>
      </c>
      <c r="EP182" s="62">
        <f t="shared" si="154"/>
        <v>297.47246687305056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-1.1368683772161603E-13</v>
      </c>
      <c r="O183" s="14">
        <f>N183*VLOOKUP('Données projet'!$B$9,Paramètres!$A$1:$I$89,3,0)*VLOOKUP('Données projet'!$B$9,Paramètres!$A$1:$I$89,5,0)</f>
        <v>-9.7543306765146564E-14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446.27304516866047</v>
      </c>
      <c r="T183" s="62">
        <f t="shared" si="142"/>
        <v>230.82970731138215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-3.4106051316484809E-13</v>
      </c>
      <c r="AJ183" s="14">
        <f>AI183*VLOOKUP('Données projet'!$B$10,Paramètres!$A$1:$I$89,3,0)*VLOOKUP('Données projet'!$B$10,Paramètres!$A$1:$I$89,5,0)</f>
        <v>-2.7134774427395314E-13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427.78067187784063</v>
      </c>
      <c r="AO183" s="62">
        <f t="shared" si="144"/>
        <v>464.22892523825118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1.7053025658242404E-13</v>
      </c>
      <c r="BE183" s="14">
        <f>BD183*VLOOKUP('Données projet'!$B$11,Paramètres!$A$1:$I$89,3,0)*VLOOKUP('Données projet'!$B$11,Paramètres!$A$1:$I$89,5,0)</f>
        <v>1.3301360013429075E-13</v>
      </c>
      <c r="BF183" s="14">
        <f t="shared" si="167"/>
        <v>1.9329766731057041E-12</v>
      </c>
      <c r="BG183" s="22">
        <f t="shared" si="168"/>
        <v>3.5982663925596575E-12</v>
      </c>
      <c r="BH183" s="62">
        <f t="shared" si="116"/>
        <v>293.3333333333369</v>
      </c>
      <c r="BI183" s="62">
        <f ca="1">AVERAGE(OFFSET($BH$3,0,0,'Données projet'!$E$11+1,1))-AVERAGE(OFFSET($H$3,0,0,'Données projet'!$E$11+1,1))</f>
        <v>312.09994042858187</v>
      </c>
      <c r="BJ183" s="62">
        <f t="shared" si="146"/>
        <v>283.48738729114024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-2.2737367544323206E-13</v>
      </c>
      <c r="BZ183" s="14">
        <f>BY183*VLOOKUP('Données projet'!$B$12,Paramètres!$A$1:$I$89,3,0)*VLOOKUP('Données projet'!$B$12,Paramètres!$A$1:$I$89,5,0)</f>
        <v>-1.8089849618263545E-13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370.79299728190904</v>
      </c>
      <c r="CE183" s="62">
        <f t="shared" si="148"/>
        <v>404.95703400805775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-1.4210854715202004E-13</v>
      </c>
      <c r="CU183" s="18">
        <f>CT183*VLOOKUP('Données projet'!$B$13,Paramètres!$A$1:$I$89,3,0)*VLOOKUP('Données projet'!$B$13,Paramètres!$A$1:$I$89,5,0)</f>
        <v>-1.3523049346986227E-13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351.34897243264044</v>
      </c>
      <c r="CZ183" s="62">
        <f t="shared" si="150"/>
        <v>268.39685058071603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-5.6843418860808015E-14</v>
      </c>
      <c r="DP183" s="18">
        <f>DO183*VLOOKUP('Données projet'!$B$14,Paramètres!$A$1:$I$89,3,0)*VLOOKUP('Données projet'!$B$14,Paramètres!$A$1:$I$89,5,0)</f>
        <v>-3.813056537183002E-14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290.46086333591074</v>
      </c>
      <c r="DU183" s="62">
        <f t="shared" si="152"/>
        <v>236.8495901994267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-1.1368683772161603E-13</v>
      </c>
      <c r="EK183" s="18">
        <f>EJ183*VLOOKUP('Données projet'!$B$15,Paramètres!$A$1:$I$89,3,0)*VLOOKUP('Données projet'!$B$15,Paramètres!$A$1:$I$89,5,0)</f>
        <v>-9.2222762759774927E-14</v>
      </c>
      <c r="EL183" s="14" t="e">
        <f t="shared" si="179"/>
        <v>#NUM!</v>
      </c>
      <c r="EM183" s="22" t="e">
        <f t="shared" si="180"/>
        <v>#NUM!</v>
      </c>
      <c r="EN183" s="62" t="e">
        <f t="shared" si="128"/>
        <v>#NUM!</v>
      </c>
      <c r="EO183" s="62">
        <f ca="1">AVERAGE(OFFSET($EN$3,0,0,'Données projet'!$E$15+1,1))-AVERAGE(OFFSET($H$3,0,0,'Données projet'!$E$15+1,1))</f>
        <v>256.19915261735281</v>
      </c>
      <c r="EP183" s="62">
        <f t="shared" si="154"/>
        <v>297.47246687305056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-1.1368683772161603E-13</v>
      </c>
      <c r="O184" s="14">
        <f>N184*VLOOKUP('Données projet'!$B$9,Paramètres!$A$1:$I$89,3,0)*VLOOKUP('Données projet'!$B$9,Paramètres!$A$1:$I$89,5,0)</f>
        <v>-9.7543306765146564E-14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446.27304516866047</v>
      </c>
      <c r="T184" s="62">
        <f t="shared" si="142"/>
        <v>230.82970731138215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-3.4106051316484809E-13</v>
      </c>
      <c r="AJ184" s="14">
        <f>AI184*VLOOKUP('Données projet'!$B$10,Paramètres!$A$1:$I$89,3,0)*VLOOKUP('Données projet'!$B$10,Paramètres!$A$1:$I$89,5,0)</f>
        <v>-2.7134774427395314E-13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427.78067187784063</v>
      </c>
      <c r="AO184" s="62">
        <f t="shared" si="144"/>
        <v>464.22892523825118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1.7053025658242404E-13</v>
      </c>
      <c r="BE184" s="14">
        <f>BD184*VLOOKUP('Données projet'!$B$11,Paramètres!$A$1:$I$89,3,0)*VLOOKUP('Données projet'!$B$11,Paramètres!$A$1:$I$89,5,0)</f>
        <v>1.3301360013429075E-13</v>
      </c>
      <c r="BF184" s="14">
        <f t="shared" si="167"/>
        <v>1.9329766731057041E-12</v>
      </c>
      <c r="BG184" s="22">
        <f t="shared" si="168"/>
        <v>3.5982663925596575E-12</v>
      </c>
      <c r="BH184" s="62">
        <f t="shared" si="116"/>
        <v>293.3333333333369</v>
      </c>
      <c r="BI184" s="62">
        <f ca="1">AVERAGE(OFFSET($BH$3,0,0,'Données projet'!$E$11+1,1))-AVERAGE(OFFSET($H$3,0,0,'Données projet'!$E$11+1,1))</f>
        <v>312.09994042858187</v>
      </c>
      <c r="BJ184" s="62">
        <f t="shared" si="146"/>
        <v>283.48738729114024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-2.2737367544323206E-13</v>
      </c>
      <c r="BZ184" s="14">
        <f>BY184*VLOOKUP('Données projet'!$B$12,Paramètres!$A$1:$I$89,3,0)*VLOOKUP('Données projet'!$B$12,Paramètres!$A$1:$I$89,5,0)</f>
        <v>-1.8089849618263545E-13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370.79299728190904</v>
      </c>
      <c r="CE184" s="62">
        <f t="shared" si="148"/>
        <v>404.95703400805775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-1.4210854715202004E-13</v>
      </c>
      <c r="CU184" s="18">
        <f>CT184*VLOOKUP('Données projet'!$B$13,Paramètres!$A$1:$I$89,3,0)*VLOOKUP('Données projet'!$B$13,Paramètres!$A$1:$I$89,5,0)</f>
        <v>-1.3523049346986227E-13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351.34897243264044</v>
      </c>
      <c r="CZ184" s="62">
        <f t="shared" si="150"/>
        <v>268.39685058071603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-5.6843418860808015E-14</v>
      </c>
      <c r="DP184" s="18">
        <f>DO184*VLOOKUP('Données projet'!$B$14,Paramètres!$A$1:$I$89,3,0)*VLOOKUP('Données projet'!$B$14,Paramètres!$A$1:$I$89,5,0)</f>
        <v>-3.813056537183002E-14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290.46086333591074</v>
      </c>
      <c r="DU184" s="62">
        <f t="shared" si="152"/>
        <v>236.8495901994267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-1.1368683772161603E-13</v>
      </c>
      <c r="EK184" s="18">
        <f>EJ184*VLOOKUP('Données projet'!$B$15,Paramètres!$A$1:$I$89,3,0)*VLOOKUP('Données projet'!$B$15,Paramètres!$A$1:$I$89,5,0)</f>
        <v>-9.2222762759774927E-14</v>
      </c>
      <c r="EL184" s="14" t="e">
        <f t="shared" si="179"/>
        <v>#NUM!</v>
      </c>
      <c r="EM184" s="22" t="e">
        <f t="shared" si="180"/>
        <v>#NUM!</v>
      </c>
      <c r="EN184" s="62" t="e">
        <f t="shared" si="128"/>
        <v>#NUM!</v>
      </c>
      <c r="EO184" s="62">
        <f ca="1">AVERAGE(OFFSET($EN$3,0,0,'Données projet'!$E$15+1,1))-AVERAGE(OFFSET($H$3,0,0,'Données projet'!$E$15+1,1))</f>
        <v>256.19915261735281</v>
      </c>
      <c r="EP184" s="62">
        <f t="shared" si="154"/>
        <v>297.47246687305056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-1.1368683772161603E-13</v>
      </c>
      <c r="O185" s="14">
        <f>N185*VLOOKUP('Données projet'!$B$9,Paramètres!$A$1:$I$89,3,0)*VLOOKUP('Données projet'!$B$9,Paramètres!$A$1:$I$89,5,0)</f>
        <v>-9.7543306765146564E-14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446.27304516866047</v>
      </c>
      <c r="T185" s="62">
        <f t="shared" si="142"/>
        <v>230.82970731138215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-3.4106051316484809E-13</v>
      </c>
      <c r="AJ185" s="14">
        <f>AI185*VLOOKUP('Données projet'!$B$10,Paramètres!$A$1:$I$89,3,0)*VLOOKUP('Données projet'!$B$10,Paramètres!$A$1:$I$89,5,0)</f>
        <v>-2.7134774427395314E-13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427.78067187784063</v>
      </c>
      <c r="AO185" s="62">
        <f t="shared" si="144"/>
        <v>464.22892523825118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1.7053025658242404E-13</v>
      </c>
      <c r="BE185" s="14">
        <f>BD185*VLOOKUP('Données projet'!$B$11,Paramètres!$A$1:$I$89,3,0)*VLOOKUP('Données projet'!$B$11,Paramètres!$A$1:$I$89,5,0)</f>
        <v>1.3301360013429075E-13</v>
      </c>
      <c r="BF185" s="14">
        <f t="shared" si="167"/>
        <v>1.9329766731057041E-12</v>
      </c>
      <c r="BG185" s="22">
        <f t="shared" si="168"/>
        <v>3.5982663925596575E-12</v>
      </c>
      <c r="BH185" s="62">
        <f t="shared" si="116"/>
        <v>293.3333333333369</v>
      </c>
      <c r="BI185" s="62">
        <f ca="1">AVERAGE(OFFSET($BH$3,0,0,'Données projet'!$E$11+1,1))-AVERAGE(OFFSET($H$3,0,0,'Données projet'!$E$11+1,1))</f>
        <v>312.09994042858187</v>
      </c>
      <c r="BJ185" s="62">
        <f t="shared" si="146"/>
        <v>283.48738729114024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-2.2737367544323206E-13</v>
      </c>
      <c r="BZ185" s="14">
        <f>BY185*VLOOKUP('Données projet'!$B$12,Paramètres!$A$1:$I$89,3,0)*VLOOKUP('Données projet'!$B$12,Paramètres!$A$1:$I$89,5,0)</f>
        <v>-1.8089849618263545E-13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370.79299728190904</v>
      </c>
      <c r="CE185" s="62">
        <f t="shared" si="148"/>
        <v>404.95703400805775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-1.4210854715202004E-13</v>
      </c>
      <c r="CU185" s="18">
        <f>CT185*VLOOKUP('Données projet'!$B$13,Paramètres!$A$1:$I$89,3,0)*VLOOKUP('Données projet'!$B$13,Paramètres!$A$1:$I$89,5,0)</f>
        <v>-1.3523049346986227E-13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351.34897243264044</v>
      </c>
      <c r="CZ185" s="62">
        <f t="shared" si="150"/>
        <v>268.39685058071603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-5.6843418860808015E-14</v>
      </c>
      <c r="DP185" s="18">
        <f>DO185*VLOOKUP('Données projet'!$B$14,Paramètres!$A$1:$I$89,3,0)*VLOOKUP('Données projet'!$B$14,Paramètres!$A$1:$I$89,5,0)</f>
        <v>-3.813056537183002E-14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290.46086333591074</v>
      </c>
      <c r="DU185" s="62">
        <f t="shared" si="152"/>
        <v>236.8495901994267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-1.1368683772161603E-13</v>
      </c>
      <c r="EK185" s="18">
        <f>EJ185*VLOOKUP('Données projet'!$B$15,Paramètres!$A$1:$I$89,3,0)*VLOOKUP('Données projet'!$B$15,Paramètres!$A$1:$I$89,5,0)</f>
        <v>-9.2222762759774927E-14</v>
      </c>
      <c r="EL185" s="14" t="e">
        <f t="shared" si="179"/>
        <v>#NUM!</v>
      </c>
      <c r="EM185" s="22" t="e">
        <f t="shared" si="180"/>
        <v>#NUM!</v>
      </c>
      <c r="EN185" s="62" t="e">
        <f t="shared" si="128"/>
        <v>#NUM!</v>
      </c>
      <c r="EO185" s="62">
        <f ca="1">AVERAGE(OFFSET($EN$3,0,0,'Données projet'!$E$15+1,1))-AVERAGE(OFFSET($H$3,0,0,'Données projet'!$E$15+1,1))</f>
        <v>256.19915261735281</v>
      </c>
      <c r="EP185" s="62">
        <f t="shared" si="154"/>
        <v>297.47246687305056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-1.1368683772161603E-13</v>
      </c>
      <c r="O186" s="14">
        <f>N186*VLOOKUP('Données projet'!$B$9,Paramètres!$A$1:$I$89,3,0)*VLOOKUP('Données projet'!$B$9,Paramètres!$A$1:$I$89,5,0)</f>
        <v>-9.7543306765146564E-14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446.27304516866047</v>
      </c>
      <c r="T186" s="62">
        <f t="shared" si="142"/>
        <v>230.82970731138215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-3.4106051316484809E-13</v>
      </c>
      <c r="AJ186" s="14">
        <f>AI186*VLOOKUP('Données projet'!$B$10,Paramètres!$A$1:$I$89,3,0)*VLOOKUP('Données projet'!$B$10,Paramètres!$A$1:$I$89,5,0)</f>
        <v>-2.7134774427395314E-13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427.78067187784063</v>
      </c>
      <c r="AO186" s="62">
        <f t="shared" si="144"/>
        <v>464.22892523825118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1.7053025658242404E-13</v>
      </c>
      <c r="BE186" s="14">
        <f>BD186*VLOOKUP('Données projet'!$B$11,Paramètres!$A$1:$I$89,3,0)*VLOOKUP('Données projet'!$B$11,Paramètres!$A$1:$I$89,5,0)</f>
        <v>1.3301360013429075E-13</v>
      </c>
      <c r="BF186" s="14">
        <f t="shared" si="167"/>
        <v>1.9329766731057041E-12</v>
      </c>
      <c r="BG186" s="22">
        <f t="shared" si="168"/>
        <v>3.5982663925596575E-12</v>
      </c>
      <c r="BH186" s="62">
        <f t="shared" si="116"/>
        <v>293.3333333333369</v>
      </c>
      <c r="BI186" s="62">
        <f ca="1">AVERAGE(OFFSET($BH$3,0,0,'Données projet'!$E$11+1,1))-AVERAGE(OFFSET($H$3,0,0,'Données projet'!$E$11+1,1))</f>
        <v>312.09994042858187</v>
      </c>
      <c r="BJ186" s="62">
        <f t="shared" si="146"/>
        <v>283.48738729114024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-2.2737367544323206E-13</v>
      </c>
      <c r="BZ186" s="14">
        <f>BY186*VLOOKUP('Données projet'!$B$12,Paramètres!$A$1:$I$89,3,0)*VLOOKUP('Données projet'!$B$12,Paramètres!$A$1:$I$89,5,0)</f>
        <v>-1.8089849618263545E-13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370.79299728190904</v>
      </c>
      <c r="CE186" s="62">
        <f t="shared" si="148"/>
        <v>404.95703400805775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-1.4210854715202004E-13</v>
      </c>
      <c r="CU186" s="18">
        <f>CT186*VLOOKUP('Données projet'!$B$13,Paramètres!$A$1:$I$89,3,0)*VLOOKUP('Données projet'!$B$13,Paramètres!$A$1:$I$89,5,0)</f>
        <v>-1.3523049346986227E-13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351.34897243264044</v>
      </c>
      <c r="CZ186" s="62">
        <f t="shared" si="150"/>
        <v>268.39685058071603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-5.6843418860808015E-14</v>
      </c>
      <c r="DP186" s="18">
        <f>DO186*VLOOKUP('Données projet'!$B$14,Paramètres!$A$1:$I$89,3,0)*VLOOKUP('Données projet'!$B$14,Paramètres!$A$1:$I$89,5,0)</f>
        <v>-3.813056537183002E-14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290.46086333591074</v>
      </c>
      <c r="DU186" s="62">
        <f t="shared" si="152"/>
        <v>236.8495901994267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-1.1368683772161603E-13</v>
      </c>
      <c r="EK186" s="18">
        <f>EJ186*VLOOKUP('Données projet'!$B$15,Paramètres!$A$1:$I$89,3,0)*VLOOKUP('Données projet'!$B$15,Paramètres!$A$1:$I$89,5,0)</f>
        <v>-9.2222762759774927E-14</v>
      </c>
      <c r="EL186" s="14" t="e">
        <f t="shared" si="179"/>
        <v>#NUM!</v>
      </c>
      <c r="EM186" s="22" t="e">
        <f t="shared" si="180"/>
        <v>#NUM!</v>
      </c>
      <c r="EN186" s="62" t="e">
        <f t="shared" si="128"/>
        <v>#NUM!</v>
      </c>
      <c r="EO186" s="62">
        <f ca="1">AVERAGE(OFFSET($EN$3,0,0,'Données projet'!$E$15+1,1))-AVERAGE(OFFSET($H$3,0,0,'Données projet'!$E$15+1,1))</f>
        <v>256.19915261735281</v>
      </c>
      <c r="EP186" s="62">
        <f t="shared" si="154"/>
        <v>297.47246687305056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-1.1368683772161603E-13</v>
      </c>
      <c r="O187" s="14">
        <f>N187*VLOOKUP('Données projet'!$B$9,Paramètres!$A$1:$I$89,3,0)*VLOOKUP('Données projet'!$B$9,Paramètres!$A$1:$I$89,5,0)</f>
        <v>-9.7543306765146564E-14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446.27304516866047</v>
      </c>
      <c r="T187" s="62">
        <f t="shared" si="142"/>
        <v>230.82970731138215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-3.4106051316484809E-13</v>
      </c>
      <c r="AJ187" s="14">
        <f>AI187*VLOOKUP('Données projet'!$B$10,Paramètres!$A$1:$I$89,3,0)*VLOOKUP('Données projet'!$B$10,Paramètres!$A$1:$I$89,5,0)</f>
        <v>-2.7134774427395314E-13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427.78067187784063</v>
      </c>
      <c r="AO187" s="62">
        <f t="shared" si="144"/>
        <v>464.22892523825118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1.7053025658242404E-13</v>
      </c>
      <c r="BE187" s="14">
        <f>BD187*VLOOKUP('Données projet'!$B$11,Paramètres!$A$1:$I$89,3,0)*VLOOKUP('Données projet'!$B$11,Paramètres!$A$1:$I$89,5,0)</f>
        <v>1.3301360013429075E-13</v>
      </c>
      <c r="BF187" s="14">
        <f t="shared" si="167"/>
        <v>1.9329766731057041E-12</v>
      </c>
      <c r="BG187" s="22">
        <f t="shared" si="168"/>
        <v>3.5982663925596575E-12</v>
      </c>
      <c r="BH187" s="62">
        <f t="shared" si="116"/>
        <v>293.3333333333369</v>
      </c>
      <c r="BI187" s="62">
        <f ca="1">AVERAGE(OFFSET($BH$3,0,0,'Données projet'!$E$11+1,1))-AVERAGE(OFFSET($H$3,0,0,'Données projet'!$E$11+1,1))</f>
        <v>312.09994042858187</v>
      </c>
      <c r="BJ187" s="62">
        <f t="shared" si="146"/>
        <v>283.48738729114024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-2.2737367544323206E-13</v>
      </c>
      <c r="BZ187" s="14">
        <f>BY187*VLOOKUP('Données projet'!$B$12,Paramètres!$A$1:$I$89,3,0)*VLOOKUP('Données projet'!$B$12,Paramètres!$A$1:$I$89,5,0)</f>
        <v>-1.8089849618263545E-13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370.79299728190904</v>
      </c>
      <c r="CE187" s="62">
        <f t="shared" si="148"/>
        <v>404.95703400805775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-1.4210854715202004E-13</v>
      </c>
      <c r="CU187" s="18">
        <f>CT187*VLOOKUP('Données projet'!$B$13,Paramètres!$A$1:$I$89,3,0)*VLOOKUP('Données projet'!$B$13,Paramètres!$A$1:$I$89,5,0)</f>
        <v>-1.3523049346986227E-13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351.34897243264044</v>
      </c>
      <c r="CZ187" s="62">
        <f t="shared" si="150"/>
        <v>268.39685058071603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-5.6843418860808015E-14</v>
      </c>
      <c r="DP187" s="18">
        <f>DO187*VLOOKUP('Données projet'!$B$14,Paramètres!$A$1:$I$89,3,0)*VLOOKUP('Données projet'!$B$14,Paramètres!$A$1:$I$89,5,0)</f>
        <v>-3.813056537183002E-14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290.46086333591074</v>
      </c>
      <c r="DU187" s="62">
        <f t="shared" si="152"/>
        <v>236.8495901994267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-1.1368683772161603E-13</v>
      </c>
      <c r="EK187" s="18">
        <f>EJ187*VLOOKUP('Données projet'!$B$15,Paramètres!$A$1:$I$89,3,0)*VLOOKUP('Données projet'!$B$15,Paramètres!$A$1:$I$89,5,0)</f>
        <v>-9.2222762759774927E-14</v>
      </c>
      <c r="EL187" s="14" t="e">
        <f t="shared" si="179"/>
        <v>#NUM!</v>
      </c>
      <c r="EM187" s="22" t="e">
        <f t="shared" si="180"/>
        <v>#NUM!</v>
      </c>
      <c r="EN187" s="62" t="e">
        <f t="shared" si="128"/>
        <v>#NUM!</v>
      </c>
      <c r="EO187" s="62">
        <f ca="1">AVERAGE(OFFSET($EN$3,0,0,'Données projet'!$E$15+1,1))-AVERAGE(OFFSET($H$3,0,0,'Données projet'!$E$15+1,1))</f>
        <v>256.19915261735281</v>
      </c>
      <c r="EP187" s="62">
        <f t="shared" si="154"/>
        <v>297.47246687305056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-1.1368683772161603E-13</v>
      </c>
      <c r="O188" s="14">
        <f>N188*VLOOKUP('Données projet'!$B$9,Paramètres!$A$1:$I$89,3,0)*VLOOKUP('Données projet'!$B$9,Paramètres!$A$1:$I$89,5,0)</f>
        <v>-9.7543306765146564E-14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446.27304516866047</v>
      </c>
      <c r="T188" s="62">
        <f t="shared" si="142"/>
        <v>230.82970731138215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-3.4106051316484809E-13</v>
      </c>
      <c r="AJ188" s="14">
        <f>AI188*VLOOKUP('Données projet'!$B$10,Paramètres!$A$1:$I$89,3,0)*VLOOKUP('Données projet'!$B$10,Paramètres!$A$1:$I$89,5,0)</f>
        <v>-2.7134774427395314E-13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427.78067187784063</v>
      </c>
      <c r="AO188" s="62">
        <f t="shared" si="144"/>
        <v>464.22892523825118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1.7053025658242404E-13</v>
      </c>
      <c r="BE188" s="14">
        <f>BD188*VLOOKUP('Données projet'!$B$11,Paramètres!$A$1:$I$89,3,0)*VLOOKUP('Données projet'!$B$11,Paramètres!$A$1:$I$89,5,0)</f>
        <v>1.3301360013429075E-13</v>
      </c>
      <c r="BF188" s="14">
        <f t="shared" si="167"/>
        <v>1.9329766731057041E-12</v>
      </c>
      <c r="BG188" s="22">
        <f t="shared" si="168"/>
        <v>3.5982663925596575E-12</v>
      </c>
      <c r="BH188" s="62">
        <f t="shared" si="116"/>
        <v>293.3333333333369</v>
      </c>
      <c r="BI188" s="62">
        <f ca="1">AVERAGE(OFFSET($BH$3,0,0,'Données projet'!$E$11+1,1))-AVERAGE(OFFSET($H$3,0,0,'Données projet'!$E$11+1,1))</f>
        <v>312.09994042858187</v>
      </c>
      <c r="BJ188" s="62">
        <f t="shared" si="146"/>
        <v>283.48738729114024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-2.2737367544323206E-13</v>
      </c>
      <c r="BZ188" s="14">
        <f>BY188*VLOOKUP('Données projet'!$B$12,Paramètres!$A$1:$I$89,3,0)*VLOOKUP('Données projet'!$B$12,Paramètres!$A$1:$I$89,5,0)</f>
        <v>-1.8089849618263545E-13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370.79299728190904</v>
      </c>
      <c r="CE188" s="62">
        <f t="shared" si="148"/>
        <v>404.95703400805775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-1.4210854715202004E-13</v>
      </c>
      <c r="CU188" s="18">
        <f>CT188*VLOOKUP('Données projet'!$B$13,Paramètres!$A$1:$I$89,3,0)*VLOOKUP('Données projet'!$B$13,Paramètres!$A$1:$I$89,5,0)</f>
        <v>-1.3523049346986227E-13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351.34897243264044</v>
      </c>
      <c r="CZ188" s="62">
        <f t="shared" si="150"/>
        <v>268.39685058071603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-5.6843418860808015E-14</v>
      </c>
      <c r="DP188" s="18">
        <f>DO188*VLOOKUP('Données projet'!$B$14,Paramètres!$A$1:$I$89,3,0)*VLOOKUP('Données projet'!$B$14,Paramètres!$A$1:$I$89,5,0)</f>
        <v>-3.813056537183002E-14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290.46086333591074</v>
      </c>
      <c r="DU188" s="62">
        <f t="shared" si="152"/>
        <v>236.8495901994267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-1.1368683772161603E-13</v>
      </c>
      <c r="EK188" s="18">
        <f>EJ188*VLOOKUP('Données projet'!$B$15,Paramètres!$A$1:$I$89,3,0)*VLOOKUP('Données projet'!$B$15,Paramètres!$A$1:$I$89,5,0)</f>
        <v>-9.2222762759774927E-14</v>
      </c>
      <c r="EL188" s="14" t="e">
        <f t="shared" si="179"/>
        <v>#NUM!</v>
      </c>
      <c r="EM188" s="22" t="e">
        <f t="shared" si="180"/>
        <v>#NUM!</v>
      </c>
      <c r="EN188" s="62" t="e">
        <f t="shared" si="128"/>
        <v>#NUM!</v>
      </c>
      <c r="EO188" s="62">
        <f ca="1">AVERAGE(OFFSET($EN$3,0,0,'Données projet'!$E$15+1,1))-AVERAGE(OFFSET($H$3,0,0,'Données projet'!$E$15+1,1))</f>
        <v>256.19915261735281</v>
      </c>
      <c r="EP188" s="62">
        <f t="shared" si="154"/>
        <v>297.47246687305056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-1.1368683772161603E-13</v>
      </c>
      <c r="O189" s="14">
        <f>N189*VLOOKUP('Données projet'!$B$9,Paramètres!$A$1:$I$89,3,0)*VLOOKUP('Données projet'!$B$9,Paramètres!$A$1:$I$89,5,0)</f>
        <v>-9.7543306765146564E-14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446.27304516866047</v>
      </c>
      <c r="T189" s="62">
        <f t="shared" si="142"/>
        <v>230.82970731138215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-3.4106051316484809E-13</v>
      </c>
      <c r="AJ189" s="14">
        <f>AI189*VLOOKUP('Données projet'!$B$10,Paramètres!$A$1:$I$89,3,0)*VLOOKUP('Données projet'!$B$10,Paramètres!$A$1:$I$89,5,0)</f>
        <v>-2.7134774427395314E-13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427.78067187784063</v>
      </c>
      <c r="AO189" s="62">
        <f t="shared" si="144"/>
        <v>464.22892523825118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1.7053025658242404E-13</v>
      </c>
      <c r="BE189" s="14">
        <f>BD189*VLOOKUP('Données projet'!$B$11,Paramètres!$A$1:$I$89,3,0)*VLOOKUP('Données projet'!$B$11,Paramètres!$A$1:$I$89,5,0)</f>
        <v>1.3301360013429075E-13</v>
      </c>
      <c r="BF189" s="14">
        <f t="shared" si="167"/>
        <v>1.9329766731057041E-12</v>
      </c>
      <c r="BG189" s="22">
        <f t="shared" si="168"/>
        <v>3.5982663925596575E-12</v>
      </c>
      <c r="BH189" s="62">
        <f t="shared" si="116"/>
        <v>293.3333333333369</v>
      </c>
      <c r="BI189" s="62">
        <f ca="1">AVERAGE(OFFSET($BH$3,0,0,'Données projet'!$E$11+1,1))-AVERAGE(OFFSET($H$3,0,0,'Données projet'!$E$11+1,1))</f>
        <v>312.09994042858187</v>
      </c>
      <c r="BJ189" s="62">
        <f t="shared" si="146"/>
        <v>283.48738729114024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-2.2737367544323206E-13</v>
      </c>
      <c r="BZ189" s="14">
        <f>BY189*VLOOKUP('Données projet'!$B$12,Paramètres!$A$1:$I$89,3,0)*VLOOKUP('Données projet'!$B$12,Paramètres!$A$1:$I$89,5,0)</f>
        <v>-1.8089849618263545E-13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370.79299728190904</v>
      </c>
      <c r="CE189" s="62">
        <f t="shared" si="148"/>
        <v>404.95703400805775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-1.4210854715202004E-13</v>
      </c>
      <c r="CU189" s="18">
        <f>CT189*VLOOKUP('Données projet'!$B$13,Paramètres!$A$1:$I$89,3,0)*VLOOKUP('Données projet'!$B$13,Paramètres!$A$1:$I$89,5,0)</f>
        <v>-1.3523049346986227E-13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351.34897243264044</v>
      </c>
      <c r="CZ189" s="62">
        <f t="shared" si="150"/>
        <v>268.39685058071603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-5.6843418860808015E-14</v>
      </c>
      <c r="DP189" s="18">
        <f>DO189*VLOOKUP('Données projet'!$B$14,Paramètres!$A$1:$I$89,3,0)*VLOOKUP('Données projet'!$B$14,Paramètres!$A$1:$I$89,5,0)</f>
        <v>-3.813056537183002E-14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290.46086333591074</v>
      </c>
      <c r="DU189" s="62">
        <f t="shared" si="152"/>
        <v>236.8495901994267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-1.1368683772161603E-13</v>
      </c>
      <c r="EK189" s="18">
        <f>EJ189*VLOOKUP('Données projet'!$B$15,Paramètres!$A$1:$I$89,3,0)*VLOOKUP('Données projet'!$B$15,Paramètres!$A$1:$I$89,5,0)</f>
        <v>-9.2222762759774927E-14</v>
      </c>
      <c r="EL189" s="14" t="e">
        <f t="shared" si="179"/>
        <v>#NUM!</v>
      </c>
      <c r="EM189" s="22" t="e">
        <f t="shared" si="180"/>
        <v>#NUM!</v>
      </c>
      <c r="EN189" s="62" t="e">
        <f t="shared" si="128"/>
        <v>#NUM!</v>
      </c>
      <c r="EO189" s="62">
        <f ca="1">AVERAGE(OFFSET($EN$3,0,0,'Données projet'!$E$15+1,1))-AVERAGE(OFFSET($H$3,0,0,'Données projet'!$E$15+1,1))</f>
        <v>256.19915261735281</v>
      </c>
      <c r="EP189" s="62">
        <f t="shared" si="154"/>
        <v>297.47246687305056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-1.1368683772161603E-13</v>
      </c>
      <c r="O190" s="14">
        <f>N190*VLOOKUP('Données projet'!$B$9,Paramètres!$A$1:$I$89,3,0)*VLOOKUP('Données projet'!$B$9,Paramètres!$A$1:$I$89,5,0)</f>
        <v>-9.7543306765146564E-14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446.27304516866047</v>
      </c>
      <c r="T190" s="62">
        <f t="shared" si="142"/>
        <v>230.82970731138215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-3.4106051316484809E-13</v>
      </c>
      <c r="AJ190" s="14">
        <f>AI190*VLOOKUP('Données projet'!$B$10,Paramètres!$A$1:$I$89,3,0)*VLOOKUP('Données projet'!$B$10,Paramètres!$A$1:$I$89,5,0)</f>
        <v>-2.7134774427395314E-13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427.78067187784063</v>
      </c>
      <c r="AO190" s="62">
        <f t="shared" si="144"/>
        <v>464.22892523825118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1.7053025658242404E-13</v>
      </c>
      <c r="BE190" s="14">
        <f>BD190*VLOOKUP('Données projet'!$B$11,Paramètres!$A$1:$I$89,3,0)*VLOOKUP('Données projet'!$B$11,Paramètres!$A$1:$I$89,5,0)</f>
        <v>1.3301360013429075E-13</v>
      </c>
      <c r="BF190" s="14">
        <f t="shared" si="167"/>
        <v>1.9329766731057041E-12</v>
      </c>
      <c r="BG190" s="22">
        <f t="shared" si="168"/>
        <v>3.5982663925596575E-12</v>
      </c>
      <c r="BH190" s="62">
        <f t="shared" si="116"/>
        <v>293.3333333333369</v>
      </c>
      <c r="BI190" s="62">
        <f ca="1">AVERAGE(OFFSET($BH$3,0,0,'Données projet'!$E$11+1,1))-AVERAGE(OFFSET($H$3,0,0,'Données projet'!$E$11+1,1))</f>
        <v>312.09994042858187</v>
      </c>
      <c r="BJ190" s="62">
        <f t="shared" si="146"/>
        <v>283.48738729114024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-2.2737367544323206E-13</v>
      </c>
      <c r="BZ190" s="14">
        <f>BY190*VLOOKUP('Données projet'!$B$12,Paramètres!$A$1:$I$89,3,0)*VLOOKUP('Données projet'!$B$12,Paramètres!$A$1:$I$89,5,0)</f>
        <v>-1.8089849618263545E-13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370.79299728190904</v>
      </c>
      <c r="CE190" s="62">
        <f t="shared" si="148"/>
        <v>404.95703400805775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-1.4210854715202004E-13</v>
      </c>
      <c r="CU190" s="18">
        <f>CT190*VLOOKUP('Données projet'!$B$13,Paramètres!$A$1:$I$89,3,0)*VLOOKUP('Données projet'!$B$13,Paramètres!$A$1:$I$89,5,0)</f>
        <v>-1.3523049346986227E-13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351.34897243264044</v>
      </c>
      <c r="CZ190" s="62">
        <f t="shared" si="150"/>
        <v>268.39685058071603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-5.6843418860808015E-14</v>
      </c>
      <c r="DP190" s="18">
        <f>DO190*VLOOKUP('Données projet'!$B$14,Paramètres!$A$1:$I$89,3,0)*VLOOKUP('Données projet'!$B$14,Paramètres!$A$1:$I$89,5,0)</f>
        <v>-3.813056537183002E-14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290.46086333591074</v>
      </c>
      <c r="DU190" s="62">
        <f t="shared" si="152"/>
        <v>236.8495901994267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-1.1368683772161603E-13</v>
      </c>
      <c r="EK190" s="18">
        <f>EJ190*VLOOKUP('Données projet'!$B$15,Paramètres!$A$1:$I$89,3,0)*VLOOKUP('Données projet'!$B$15,Paramètres!$A$1:$I$89,5,0)</f>
        <v>-9.2222762759774927E-14</v>
      </c>
      <c r="EL190" s="14" t="e">
        <f t="shared" si="179"/>
        <v>#NUM!</v>
      </c>
      <c r="EM190" s="22" t="e">
        <f t="shared" si="180"/>
        <v>#NUM!</v>
      </c>
      <c r="EN190" s="62" t="e">
        <f t="shared" si="128"/>
        <v>#NUM!</v>
      </c>
      <c r="EO190" s="62">
        <f ca="1">AVERAGE(OFFSET($EN$3,0,0,'Données projet'!$E$15+1,1))-AVERAGE(OFFSET($H$3,0,0,'Données projet'!$E$15+1,1))</f>
        <v>256.19915261735281</v>
      </c>
      <c r="EP190" s="62">
        <f t="shared" si="154"/>
        <v>297.47246687305056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-1.1368683772161603E-13</v>
      </c>
      <c r="O191" s="14">
        <f>N191*VLOOKUP('Données projet'!$B$9,Paramètres!$A$1:$I$89,3,0)*VLOOKUP('Données projet'!$B$9,Paramètres!$A$1:$I$89,5,0)</f>
        <v>-9.7543306765146564E-14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446.27304516866047</v>
      </c>
      <c r="T191" s="62">
        <f t="shared" si="142"/>
        <v>230.82970731138215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-3.4106051316484809E-13</v>
      </c>
      <c r="AJ191" s="14">
        <f>AI191*VLOOKUP('Données projet'!$B$10,Paramètres!$A$1:$I$89,3,0)*VLOOKUP('Données projet'!$B$10,Paramètres!$A$1:$I$89,5,0)</f>
        <v>-2.7134774427395314E-13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427.78067187784063</v>
      </c>
      <c r="AO191" s="62">
        <f t="shared" si="144"/>
        <v>464.22892523825118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1.7053025658242404E-13</v>
      </c>
      <c r="BE191" s="14">
        <f>BD191*VLOOKUP('Données projet'!$B$11,Paramètres!$A$1:$I$89,3,0)*VLOOKUP('Données projet'!$B$11,Paramètres!$A$1:$I$89,5,0)</f>
        <v>1.3301360013429075E-13</v>
      </c>
      <c r="BF191" s="14">
        <f t="shared" si="167"/>
        <v>1.9329766731057041E-12</v>
      </c>
      <c r="BG191" s="22">
        <f t="shared" si="168"/>
        <v>3.5982663925596575E-12</v>
      </c>
      <c r="BH191" s="62">
        <f t="shared" si="116"/>
        <v>293.3333333333369</v>
      </c>
      <c r="BI191" s="62">
        <f ca="1">AVERAGE(OFFSET($BH$3,0,0,'Données projet'!$E$11+1,1))-AVERAGE(OFFSET($H$3,0,0,'Données projet'!$E$11+1,1))</f>
        <v>312.09994042858187</v>
      </c>
      <c r="BJ191" s="62">
        <f t="shared" si="146"/>
        <v>283.48738729114024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-2.2737367544323206E-13</v>
      </c>
      <c r="BZ191" s="14">
        <f>BY191*VLOOKUP('Données projet'!$B$12,Paramètres!$A$1:$I$89,3,0)*VLOOKUP('Données projet'!$B$12,Paramètres!$A$1:$I$89,5,0)</f>
        <v>-1.8089849618263545E-13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370.79299728190904</v>
      </c>
      <c r="CE191" s="62">
        <f t="shared" si="148"/>
        <v>404.95703400805775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-1.4210854715202004E-13</v>
      </c>
      <c r="CU191" s="18">
        <f>CT191*VLOOKUP('Données projet'!$B$13,Paramètres!$A$1:$I$89,3,0)*VLOOKUP('Données projet'!$B$13,Paramètres!$A$1:$I$89,5,0)</f>
        <v>-1.3523049346986227E-13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351.34897243264044</v>
      </c>
      <c r="CZ191" s="62">
        <f t="shared" si="150"/>
        <v>268.39685058071603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-5.6843418860808015E-14</v>
      </c>
      <c r="DP191" s="18">
        <f>DO191*VLOOKUP('Données projet'!$B$14,Paramètres!$A$1:$I$89,3,0)*VLOOKUP('Données projet'!$B$14,Paramètres!$A$1:$I$89,5,0)</f>
        <v>-3.813056537183002E-14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290.46086333591074</v>
      </c>
      <c r="DU191" s="62">
        <f t="shared" si="152"/>
        <v>236.8495901994267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-1.1368683772161603E-13</v>
      </c>
      <c r="EK191" s="18">
        <f>EJ191*VLOOKUP('Données projet'!$B$15,Paramètres!$A$1:$I$89,3,0)*VLOOKUP('Données projet'!$B$15,Paramètres!$A$1:$I$89,5,0)</f>
        <v>-9.2222762759774927E-14</v>
      </c>
      <c r="EL191" s="14" t="e">
        <f t="shared" si="179"/>
        <v>#NUM!</v>
      </c>
      <c r="EM191" s="22" t="e">
        <f t="shared" si="180"/>
        <v>#NUM!</v>
      </c>
      <c r="EN191" s="62" t="e">
        <f t="shared" si="128"/>
        <v>#NUM!</v>
      </c>
      <c r="EO191" s="62">
        <f ca="1">AVERAGE(OFFSET($EN$3,0,0,'Données projet'!$E$15+1,1))-AVERAGE(OFFSET($H$3,0,0,'Données projet'!$E$15+1,1))</f>
        <v>256.19915261735281</v>
      </c>
      <c r="EP191" s="62">
        <f t="shared" si="154"/>
        <v>297.47246687305056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-1.1368683772161603E-13</v>
      </c>
      <c r="O192" s="14">
        <f>N192*VLOOKUP('Données projet'!$B$9,Paramètres!$A$1:$I$89,3,0)*VLOOKUP('Données projet'!$B$9,Paramètres!$A$1:$I$89,5,0)</f>
        <v>-9.7543306765146564E-14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446.27304516866047</v>
      </c>
      <c r="T192" s="62">
        <f t="shared" si="142"/>
        <v>230.82970731138215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-3.4106051316484809E-13</v>
      </c>
      <c r="AJ192" s="14">
        <f>AI192*VLOOKUP('Données projet'!$B$10,Paramètres!$A$1:$I$89,3,0)*VLOOKUP('Données projet'!$B$10,Paramètres!$A$1:$I$89,5,0)</f>
        <v>-2.7134774427395314E-13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427.78067187784063</v>
      </c>
      <c r="AO192" s="62">
        <f t="shared" si="144"/>
        <v>464.22892523825118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1.7053025658242404E-13</v>
      </c>
      <c r="BE192" s="14">
        <f>BD192*VLOOKUP('Données projet'!$B$11,Paramètres!$A$1:$I$89,3,0)*VLOOKUP('Données projet'!$B$11,Paramètres!$A$1:$I$89,5,0)</f>
        <v>1.3301360013429075E-13</v>
      </c>
      <c r="BF192" s="14">
        <f t="shared" si="167"/>
        <v>1.9329766731057041E-12</v>
      </c>
      <c r="BG192" s="22">
        <f t="shared" si="168"/>
        <v>3.5982663925596575E-12</v>
      </c>
      <c r="BH192" s="62">
        <f t="shared" si="116"/>
        <v>293.3333333333369</v>
      </c>
      <c r="BI192" s="62">
        <f ca="1">AVERAGE(OFFSET($BH$3,0,0,'Données projet'!$E$11+1,1))-AVERAGE(OFFSET($H$3,0,0,'Données projet'!$E$11+1,1))</f>
        <v>312.09994042858187</v>
      </c>
      <c r="BJ192" s="62">
        <f t="shared" si="146"/>
        <v>283.48738729114024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-2.2737367544323206E-13</v>
      </c>
      <c r="BZ192" s="14">
        <f>BY192*VLOOKUP('Données projet'!$B$12,Paramètres!$A$1:$I$89,3,0)*VLOOKUP('Données projet'!$B$12,Paramètres!$A$1:$I$89,5,0)</f>
        <v>-1.8089849618263545E-13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370.79299728190904</v>
      </c>
      <c r="CE192" s="62">
        <f t="shared" si="148"/>
        <v>404.95703400805775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-1.4210854715202004E-13</v>
      </c>
      <c r="CU192" s="18">
        <f>CT192*VLOOKUP('Données projet'!$B$13,Paramètres!$A$1:$I$89,3,0)*VLOOKUP('Données projet'!$B$13,Paramètres!$A$1:$I$89,5,0)</f>
        <v>-1.3523049346986227E-13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351.34897243264044</v>
      </c>
      <c r="CZ192" s="62">
        <f t="shared" si="150"/>
        <v>268.39685058071603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-5.6843418860808015E-14</v>
      </c>
      <c r="DP192" s="18">
        <f>DO192*VLOOKUP('Données projet'!$B$14,Paramètres!$A$1:$I$89,3,0)*VLOOKUP('Données projet'!$B$14,Paramètres!$A$1:$I$89,5,0)</f>
        <v>-3.813056537183002E-14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290.46086333591074</v>
      </c>
      <c r="DU192" s="62">
        <f t="shared" si="152"/>
        <v>236.8495901994267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-1.1368683772161603E-13</v>
      </c>
      <c r="EK192" s="18">
        <f>EJ192*VLOOKUP('Données projet'!$B$15,Paramètres!$A$1:$I$89,3,0)*VLOOKUP('Données projet'!$B$15,Paramètres!$A$1:$I$89,5,0)</f>
        <v>-9.2222762759774927E-14</v>
      </c>
      <c r="EL192" s="14" t="e">
        <f t="shared" si="179"/>
        <v>#NUM!</v>
      </c>
      <c r="EM192" s="22" t="e">
        <f t="shared" si="180"/>
        <v>#NUM!</v>
      </c>
      <c r="EN192" s="62" t="e">
        <f t="shared" si="128"/>
        <v>#NUM!</v>
      </c>
      <c r="EO192" s="62">
        <f ca="1">AVERAGE(OFFSET($EN$3,0,0,'Données projet'!$E$15+1,1))-AVERAGE(OFFSET($H$3,0,0,'Données projet'!$E$15+1,1))</f>
        <v>256.19915261735281</v>
      </c>
      <c r="EP192" s="62">
        <f t="shared" si="154"/>
        <v>297.47246687305056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-1.1368683772161603E-13</v>
      </c>
      <c r="O193" s="14">
        <f>N193*VLOOKUP('Données projet'!$B$9,Paramètres!$A$1:$I$89,3,0)*VLOOKUP('Données projet'!$B$9,Paramètres!$A$1:$I$89,5,0)</f>
        <v>-9.7543306765146564E-14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446.27304516866047</v>
      </c>
      <c r="T193" s="62">
        <f t="shared" si="142"/>
        <v>230.82970731138215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-3.4106051316484809E-13</v>
      </c>
      <c r="AJ193" s="14">
        <f>AI193*VLOOKUP('Données projet'!$B$10,Paramètres!$A$1:$I$89,3,0)*VLOOKUP('Données projet'!$B$10,Paramètres!$A$1:$I$89,5,0)</f>
        <v>-2.7134774427395314E-13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427.78067187784063</v>
      </c>
      <c r="AO193" s="62">
        <f t="shared" si="144"/>
        <v>464.22892523825118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1.7053025658242404E-13</v>
      </c>
      <c r="BE193" s="14">
        <f>BD193*VLOOKUP('Données projet'!$B$11,Paramètres!$A$1:$I$89,3,0)*VLOOKUP('Données projet'!$B$11,Paramètres!$A$1:$I$89,5,0)</f>
        <v>1.3301360013429075E-13</v>
      </c>
      <c r="BF193" s="14">
        <f t="shared" si="167"/>
        <v>1.9329766731057041E-12</v>
      </c>
      <c r="BG193" s="22">
        <f t="shared" si="168"/>
        <v>3.5982663925596575E-12</v>
      </c>
      <c r="BH193" s="62">
        <f t="shared" si="116"/>
        <v>293.3333333333369</v>
      </c>
      <c r="BI193" s="62">
        <f ca="1">AVERAGE(OFFSET($BH$3,0,0,'Données projet'!$E$11+1,1))-AVERAGE(OFFSET($H$3,0,0,'Données projet'!$E$11+1,1))</f>
        <v>312.09994042858187</v>
      </c>
      <c r="BJ193" s="62">
        <f t="shared" si="146"/>
        <v>283.48738729114024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-2.2737367544323206E-13</v>
      </c>
      <c r="BZ193" s="14">
        <f>BY193*VLOOKUP('Données projet'!$B$12,Paramètres!$A$1:$I$89,3,0)*VLOOKUP('Données projet'!$B$12,Paramètres!$A$1:$I$89,5,0)</f>
        <v>-1.8089849618263545E-13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370.79299728190904</v>
      </c>
      <c r="CE193" s="62">
        <f t="shared" si="148"/>
        <v>404.95703400805775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-1.4210854715202004E-13</v>
      </c>
      <c r="CU193" s="18">
        <f>CT193*VLOOKUP('Données projet'!$B$13,Paramètres!$A$1:$I$89,3,0)*VLOOKUP('Données projet'!$B$13,Paramètres!$A$1:$I$89,5,0)</f>
        <v>-1.3523049346986227E-13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351.34897243264044</v>
      </c>
      <c r="CZ193" s="62">
        <f t="shared" si="150"/>
        <v>268.39685058071603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-5.6843418860808015E-14</v>
      </c>
      <c r="DP193" s="18">
        <f>DO193*VLOOKUP('Données projet'!$B$14,Paramètres!$A$1:$I$89,3,0)*VLOOKUP('Données projet'!$B$14,Paramètres!$A$1:$I$89,5,0)</f>
        <v>-3.813056537183002E-14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290.46086333591074</v>
      </c>
      <c r="DU193" s="62">
        <f t="shared" si="152"/>
        <v>236.8495901994267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-1.1368683772161603E-13</v>
      </c>
      <c r="EK193" s="18">
        <f>EJ193*VLOOKUP('Données projet'!$B$15,Paramètres!$A$1:$I$89,3,0)*VLOOKUP('Données projet'!$B$15,Paramètres!$A$1:$I$89,5,0)</f>
        <v>-9.2222762759774927E-14</v>
      </c>
      <c r="EL193" s="14" t="e">
        <f t="shared" si="179"/>
        <v>#NUM!</v>
      </c>
      <c r="EM193" s="22" t="e">
        <f t="shared" si="180"/>
        <v>#NUM!</v>
      </c>
      <c r="EN193" s="62" t="e">
        <f t="shared" si="128"/>
        <v>#NUM!</v>
      </c>
      <c r="EO193" s="62">
        <f ca="1">AVERAGE(OFFSET($EN$3,0,0,'Données projet'!$E$15+1,1))-AVERAGE(OFFSET($H$3,0,0,'Données projet'!$E$15+1,1))</f>
        <v>256.19915261735281</v>
      </c>
      <c r="EP193" s="62">
        <f t="shared" si="154"/>
        <v>297.47246687305056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-1.1368683772161603E-13</v>
      </c>
      <c r="O194" s="14">
        <f>N194*VLOOKUP('Données projet'!$B$9,Paramètres!$A$1:$I$89,3,0)*VLOOKUP('Données projet'!$B$9,Paramètres!$A$1:$I$89,5,0)</f>
        <v>-9.7543306765146564E-14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446.27304516866047</v>
      </c>
      <c r="T194" s="62">
        <f t="shared" si="142"/>
        <v>230.82970731138215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-3.4106051316484809E-13</v>
      </c>
      <c r="AJ194" s="14">
        <f>AI194*VLOOKUP('Données projet'!$B$10,Paramètres!$A$1:$I$89,3,0)*VLOOKUP('Données projet'!$B$10,Paramètres!$A$1:$I$89,5,0)</f>
        <v>-2.7134774427395314E-13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427.78067187784063</v>
      </c>
      <c r="AO194" s="62">
        <f t="shared" si="144"/>
        <v>464.22892523825118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1.7053025658242404E-13</v>
      </c>
      <c r="BE194" s="14">
        <f>BD194*VLOOKUP('Données projet'!$B$11,Paramètres!$A$1:$I$89,3,0)*VLOOKUP('Données projet'!$B$11,Paramètres!$A$1:$I$89,5,0)</f>
        <v>1.3301360013429075E-13</v>
      </c>
      <c r="BF194" s="14">
        <f t="shared" si="167"/>
        <v>1.9329766731057041E-12</v>
      </c>
      <c r="BG194" s="22">
        <f t="shared" si="168"/>
        <v>3.5982663925596575E-12</v>
      </c>
      <c r="BH194" s="62">
        <f t="shared" si="116"/>
        <v>293.3333333333369</v>
      </c>
      <c r="BI194" s="62">
        <f ca="1">AVERAGE(OFFSET($BH$3,0,0,'Données projet'!$E$11+1,1))-AVERAGE(OFFSET($H$3,0,0,'Données projet'!$E$11+1,1))</f>
        <v>312.09994042858187</v>
      </c>
      <c r="BJ194" s="62">
        <f t="shared" si="146"/>
        <v>283.48738729114024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-2.2737367544323206E-13</v>
      </c>
      <c r="BZ194" s="14">
        <f>BY194*VLOOKUP('Données projet'!$B$12,Paramètres!$A$1:$I$89,3,0)*VLOOKUP('Données projet'!$B$12,Paramètres!$A$1:$I$89,5,0)</f>
        <v>-1.8089849618263545E-13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370.79299728190904</v>
      </c>
      <c r="CE194" s="62">
        <f t="shared" si="148"/>
        <v>404.95703400805775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-1.4210854715202004E-13</v>
      </c>
      <c r="CU194" s="18">
        <f>CT194*VLOOKUP('Données projet'!$B$13,Paramètres!$A$1:$I$89,3,0)*VLOOKUP('Données projet'!$B$13,Paramètres!$A$1:$I$89,5,0)</f>
        <v>-1.3523049346986227E-13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351.34897243264044</v>
      </c>
      <c r="CZ194" s="62">
        <f t="shared" si="150"/>
        <v>268.39685058071603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-5.6843418860808015E-14</v>
      </c>
      <c r="DP194" s="18">
        <f>DO194*VLOOKUP('Données projet'!$B$14,Paramètres!$A$1:$I$89,3,0)*VLOOKUP('Données projet'!$B$14,Paramètres!$A$1:$I$89,5,0)</f>
        <v>-3.813056537183002E-14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290.46086333591074</v>
      </c>
      <c r="DU194" s="62">
        <f t="shared" si="152"/>
        <v>236.8495901994267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-1.1368683772161603E-13</v>
      </c>
      <c r="EK194" s="18">
        <f>EJ194*VLOOKUP('Données projet'!$B$15,Paramètres!$A$1:$I$89,3,0)*VLOOKUP('Données projet'!$B$15,Paramètres!$A$1:$I$89,5,0)</f>
        <v>-9.2222762759774927E-14</v>
      </c>
      <c r="EL194" s="14" t="e">
        <f t="shared" si="179"/>
        <v>#NUM!</v>
      </c>
      <c r="EM194" s="22" t="e">
        <f t="shared" si="180"/>
        <v>#NUM!</v>
      </c>
      <c r="EN194" s="62" t="e">
        <f t="shared" si="128"/>
        <v>#NUM!</v>
      </c>
      <c r="EO194" s="62">
        <f ca="1">AVERAGE(OFFSET($EN$3,0,0,'Données projet'!$E$15+1,1))-AVERAGE(OFFSET($H$3,0,0,'Données projet'!$E$15+1,1))</f>
        <v>256.19915261735281</v>
      </c>
      <c r="EP194" s="62">
        <f t="shared" si="154"/>
        <v>297.47246687305056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-1.1368683772161603E-13</v>
      </c>
      <c r="O195" s="14">
        <f>N195*VLOOKUP('Données projet'!$B$9,Paramètres!$A$1:$I$89,3,0)*VLOOKUP('Données projet'!$B$9,Paramètres!$A$1:$I$89,5,0)</f>
        <v>-9.7543306765146564E-14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446.27304516866047</v>
      </c>
      <c r="T195" s="62">
        <f t="shared" si="142"/>
        <v>230.82970731138215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-3.4106051316484809E-13</v>
      </c>
      <c r="AJ195" s="14">
        <f>AI195*VLOOKUP('Données projet'!$B$10,Paramètres!$A$1:$I$89,3,0)*VLOOKUP('Données projet'!$B$10,Paramètres!$A$1:$I$89,5,0)</f>
        <v>-2.7134774427395314E-13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427.78067187784063</v>
      </c>
      <c r="AO195" s="62">
        <f t="shared" si="144"/>
        <v>464.22892523825118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1.7053025658242404E-13</v>
      </c>
      <c r="BE195" s="14">
        <f>BD195*VLOOKUP('Données projet'!$B$11,Paramètres!$A$1:$I$89,3,0)*VLOOKUP('Données projet'!$B$11,Paramètres!$A$1:$I$89,5,0)</f>
        <v>1.3301360013429075E-13</v>
      </c>
      <c r="BF195" s="14">
        <f t="shared" si="167"/>
        <v>1.9329766731057041E-12</v>
      </c>
      <c r="BG195" s="22">
        <f t="shared" si="168"/>
        <v>3.5982663925596575E-12</v>
      </c>
      <c r="BH195" s="62">
        <f t="shared" si="116"/>
        <v>293.3333333333369</v>
      </c>
      <c r="BI195" s="62">
        <f ca="1">AVERAGE(OFFSET($BH$3,0,0,'Données projet'!$E$11+1,1))-AVERAGE(OFFSET($H$3,0,0,'Données projet'!$E$11+1,1))</f>
        <v>312.09994042858187</v>
      </c>
      <c r="BJ195" s="62">
        <f t="shared" si="146"/>
        <v>283.48738729114024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-2.2737367544323206E-13</v>
      </c>
      <c r="BZ195" s="14">
        <f>BY195*VLOOKUP('Données projet'!$B$12,Paramètres!$A$1:$I$89,3,0)*VLOOKUP('Données projet'!$B$12,Paramètres!$A$1:$I$89,5,0)</f>
        <v>-1.8089849618263545E-13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370.79299728190904</v>
      </c>
      <c r="CE195" s="62">
        <f t="shared" si="148"/>
        <v>404.95703400805775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-1.4210854715202004E-13</v>
      </c>
      <c r="CU195" s="18">
        <f>CT195*VLOOKUP('Données projet'!$B$13,Paramètres!$A$1:$I$89,3,0)*VLOOKUP('Données projet'!$B$13,Paramètres!$A$1:$I$89,5,0)</f>
        <v>-1.3523049346986227E-13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351.34897243264044</v>
      </c>
      <c r="CZ195" s="62">
        <f t="shared" si="150"/>
        <v>268.39685058071603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-5.6843418860808015E-14</v>
      </c>
      <c r="DP195" s="18">
        <f>DO195*VLOOKUP('Données projet'!$B$14,Paramètres!$A$1:$I$89,3,0)*VLOOKUP('Données projet'!$B$14,Paramètres!$A$1:$I$89,5,0)</f>
        <v>-3.813056537183002E-14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290.46086333591074</v>
      </c>
      <c r="DU195" s="62">
        <f t="shared" si="152"/>
        <v>236.8495901994267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-1.1368683772161603E-13</v>
      </c>
      <c r="EK195" s="18">
        <f>EJ195*VLOOKUP('Données projet'!$B$15,Paramètres!$A$1:$I$89,3,0)*VLOOKUP('Données projet'!$B$15,Paramètres!$A$1:$I$89,5,0)</f>
        <v>-9.2222762759774927E-14</v>
      </c>
      <c r="EL195" s="14" t="e">
        <f t="shared" si="179"/>
        <v>#NUM!</v>
      </c>
      <c r="EM195" s="22" t="e">
        <f t="shared" si="180"/>
        <v>#NUM!</v>
      </c>
      <c r="EN195" s="62" t="e">
        <f t="shared" si="128"/>
        <v>#NUM!</v>
      </c>
      <c r="EO195" s="62">
        <f ca="1">AVERAGE(OFFSET($EN$3,0,0,'Données projet'!$E$15+1,1))-AVERAGE(OFFSET($H$3,0,0,'Données projet'!$E$15+1,1))</f>
        <v>256.19915261735281</v>
      </c>
      <c r="EP195" s="62">
        <f t="shared" si="154"/>
        <v>297.47246687305056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-1.1368683772161603E-13</v>
      </c>
      <c r="O196" s="14">
        <f>N196*VLOOKUP('Données projet'!$B$9,Paramètres!$A$1:$I$89,3,0)*VLOOKUP('Données projet'!$B$9,Paramètres!$A$1:$I$89,5,0)</f>
        <v>-9.7543306765146564E-14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446.27304516866047</v>
      </c>
      <c r="T196" s="62">
        <f t="shared" si="142"/>
        <v>230.82970731138215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-3.4106051316484809E-13</v>
      </c>
      <c r="AJ196" s="14">
        <f>AI196*VLOOKUP('Données projet'!$B$10,Paramètres!$A$1:$I$89,3,0)*VLOOKUP('Données projet'!$B$10,Paramètres!$A$1:$I$89,5,0)</f>
        <v>-2.7134774427395314E-13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427.78067187784063</v>
      </c>
      <c r="AO196" s="62">
        <f t="shared" si="144"/>
        <v>464.22892523825118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1.7053025658242404E-13</v>
      </c>
      <c r="BE196" s="14">
        <f>BD196*VLOOKUP('Données projet'!$B$11,Paramètres!$A$1:$I$89,3,0)*VLOOKUP('Données projet'!$B$11,Paramètres!$A$1:$I$89,5,0)</f>
        <v>1.3301360013429075E-13</v>
      </c>
      <c r="BF196" s="14">
        <f t="shared" si="167"/>
        <v>1.9329766731057041E-12</v>
      </c>
      <c r="BG196" s="22">
        <f t="shared" si="168"/>
        <v>3.5982663925596575E-12</v>
      </c>
      <c r="BH196" s="62">
        <f t="shared" ref="BH196:BH203" si="194">BG196+(AY196+AZ196)*44/12</f>
        <v>293.3333333333369</v>
      </c>
      <c r="BI196" s="62">
        <f ca="1">AVERAGE(OFFSET($BH$3,0,0,'Données projet'!$E$11+1,1))-AVERAGE(OFFSET($H$3,0,0,'Données projet'!$E$11+1,1))</f>
        <v>312.09994042858187</v>
      </c>
      <c r="BJ196" s="62">
        <f t="shared" si="146"/>
        <v>283.48738729114024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-2.2737367544323206E-13</v>
      </c>
      <c r="BZ196" s="14">
        <f>BY196*VLOOKUP('Données projet'!$B$12,Paramètres!$A$1:$I$89,3,0)*VLOOKUP('Données projet'!$B$12,Paramètres!$A$1:$I$89,5,0)</f>
        <v>-1.8089849618263545E-13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370.79299728190904</v>
      </c>
      <c r="CE196" s="62">
        <f t="shared" si="148"/>
        <v>404.95703400805775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-1.4210854715202004E-13</v>
      </c>
      <c r="CU196" s="18">
        <f>CT196*VLOOKUP('Données projet'!$B$13,Paramètres!$A$1:$I$89,3,0)*VLOOKUP('Données projet'!$B$13,Paramètres!$A$1:$I$89,5,0)</f>
        <v>-1.3523049346986227E-13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351.34897243264044</v>
      </c>
      <c r="CZ196" s="62">
        <f t="shared" si="150"/>
        <v>268.39685058071603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-5.6843418860808015E-14</v>
      </c>
      <c r="DP196" s="18">
        <f>DO196*VLOOKUP('Données projet'!$B$14,Paramètres!$A$1:$I$89,3,0)*VLOOKUP('Données projet'!$B$14,Paramètres!$A$1:$I$89,5,0)</f>
        <v>-3.813056537183002E-14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290.46086333591074</v>
      </c>
      <c r="DU196" s="62">
        <f t="shared" si="152"/>
        <v>236.8495901994267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-1.1368683772161603E-13</v>
      </c>
      <c r="EK196" s="18">
        <f>EJ196*VLOOKUP('Données projet'!$B$15,Paramètres!$A$1:$I$89,3,0)*VLOOKUP('Données projet'!$B$15,Paramètres!$A$1:$I$89,5,0)</f>
        <v>-9.2222762759774927E-14</v>
      </c>
      <c r="EL196" s="14" t="e">
        <f t="shared" si="179"/>
        <v>#NUM!</v>
      </c>
      <c r="EM196" s="22" t="e">
        <f t="shared" si="180"/>
        <v>#NUM!</v>
      </c>
      <c r="EN196" s="62" t="e">
        <f t="shared" ref="EN196:EN203" si="198">EM196+(EE196+EF196)*44/12</f>
        <v>#NUM!</v>
      </c>
      <c r="EO196" s="62">
        <f ca="1">AVERAGE(OFFSET($EN$3,0,0,'Données projet'!$E$15+1,1))-AVERAGE(OFFSET($H$3,0,0,'Données projet'!$E$15+1,1))</f>
        <v>256.19915261735281</v>
      </c>
      <c r="EP196" s="62">
        <f t="shared" si="154"/>
        <v>297.47246687305056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-1.1368683772161603E-13</v>
      </c>
      <c r="O197" s="14">
        <f>N197*VLOOKUP('Données projet'!$B$9,Paramètres!$A$1:$I$89,3,0)*VLOOKUP('Données projet'!$B$9,Paramètres!$A$1:$I$89,5,0)</f>
        <v>-9.7543306765146564E-14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446.27304516866047</v>
      </c>
      <c r="T197" s="62">
        <f t="shared" ref="T197:T203" si="204">$T$3</f>
        <v>230.82970731138215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-3.4106051316484809E-13</v>
      </c>
      <c r="AJ197" s="14">
        <f>AI197*VLOOKUP('Données projet'!$B$10,Paramètres!$A$1:$I$89,3,0)*VLOOKUP('Données projet'!$B$10,Paramètres!$A$1:$I$89,5,0)</f>
        <v>-2.7134774427395314E-13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427.78067187784063</v>
      </c>
      <c r="AO197" s="62">
        <f t="shared" ref="AO197:AO203" si="205">$AO$3</f>
        <v>464.22892523825118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1.7053025658242404E-13</v>
      </c>
      <c r="BE197" s="14">
        <f>BD197*VLOOKUP('Données projet'!$B$11,Paramètres!$A$1:$I$89,3,0)*VLOOKUP('Données projet'!$B$11,Paramètres!$A$1:$I$89,5,0)</f>
        <v>1.3301360013429075E-13</v>
      </c>
      <c r="BF197" s="14">
        <f t="shared" si="167"/>
        <v>1.9329766731057041E-12</v>
      </c>
      <c r="BG197" s="22">
        <f t="shared" si="168"/>
        <v>3.5982663925596575E-12</v>
      </c>
      <c r="BH197" s="62">
        <f t="shared" si="194"/>
        <v>293.3333333333369</v>
      </c>
      <c r="BI197" s="62">
        <f ca="1">AVERAGE(OFFSET($BH$3,0,0,'Données projet'!$E$11+1,1))-AVERAGE(OFFSET($H$3,0,0,'Données projet'!$E$11+1,1))</f>
        <v>312.09994042858187</v>
      </c>
      <c r="BJ197" s="62">
        <f t="shared" ref="BJ197:BJ203" si="206">$BJ$3</f>
        <v>283.48738729114024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-2.2737367544323206E-13</v>
      </c>
      <c r="BZ197" s="14">
        <f>BY197*VLOOKUP('Données projet'!$B$12,Paramètres!$A$1:$I$89,3,0)*VLOOKUP('Données projet'!$B$12,Paramètres!$A$1:$I$89,5,0)</f>
        <v>-1.8089849618263545E-13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370.79299728190904</v>
      </c>
      <c r="CE197" s="62">
        <f t="shared" ref="CE197:CE203" si="207">$CE$3</f>
        <v>404.95703400805775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-1.4210854715202004E-13</v>
      </c>
      <c r="CU197" s="18">
        <f>CT197*VLOOKUP('Données projet'!$B$13,Paramètres!$A$1:$I$89,3,0)*VLOOKUP('Données projet'!$B$13,Paramètres!$A$1:$I$89,5,0)</f>
        <v>-1.3523049346986227E-13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351.34897243264044</v>
      </c>
      <c r="CZ197" s="62">
        <f t="shared" ref="CZ197:CZ203" si="208">$CZ$3</f>
        <v>268.39685058071603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-5.6843418860808015E-14</v>
      </c>
      <c r="DP197" s="18">
        <f>DO197*VLOOKUP('Données projet'!$B$14,Paramètres!$A$1:$I$89,3,0)*VLOOKUP('Données projet'!$B$14,Paramètres!$A$1:$I$89,5,0)</f>
        <v>-3.813056537183002E-14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290.46086333591074</v>
      </c>
      <c r="DU197" s="62">
        <f t="shared" ref="DU197:DU203" si="209">$DU$3</f>
        <v>236.8495901994267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-1.1368683772161603E-13</v>
      </c>
      <c r="EK197" s="18">
        <f>EJ197*VLOOKUP('Données projet'!$B$15,Paramètres!$A$1:$I$89,3,0)*VLOOKUP('Données projet'!$B$15,Paramètres!$A$1:$I$89,5,0)</f>
        <v>-9.2222762759774927E-14</v>
      </c>
      <c r="EL197" s="14" t="e">
        <f t="shared" si="179"/>
        <v>#NUM!</v>
      </c>
      <c r="EM197" s="22" t="e">
        <f t="shared" si="180"/>
        <v>#NUM!</v>
      </c>
      <c r="EN197" s="62" t="e">
        <f t="shared" si="198"/>
        <v>#NUM!</v>
      </c>
      <c r="EO197" s="62">
        <f ca="1">AVERAGE(OFFSET($EN$3,0,0,'Données projet'!$E$15+1,1))-AVERAGE(OFFSET($H$3,0,0,'Données projet'!$E$15+1,1))</f>
        <v>256.19915261735281</v>
      </c>
      <c r="EP197" s="62">
        <f t="shared" ref="EP197:EP203" si="210">$EP$3</f>
        <v>297.47246687305056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-1.1368683772161603E-13</v>
      </c>
      <c r="O198" s="14">
        <f>N198*VLOOKUP('Données projet'!$B$9,Paramètres!$A$1:$I$89,3,0)*VLOOKUP('Données projet'!$B$9,Paramètres!$A$1:$I$89,5,0)</f>
        <v>-9.7543306765146564E-14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446.27304516866047</v>
      </c>
      <c r="T198" s="62">
        <f t="shared" si="204"/>
        <v>230.82970731138215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-3.4106051316484809E-13</v>
      </c>
      <c r="AJ198" s="14">
        <f>AI198*VLOOKUP('Données projet'!$B$10,Paramètres!$A$1:$I$89,3,0)*VLOOKUP('Données projet'!$B$10,Paramètres!$A$1:$I$89,5,0)</f>
        <v>-2.7134774427395314E-13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427.78067187784063</v>
      </c>
      <c r="AO198" s="62">
        <f t="shared" si="205"/>
        <v>464.22892523825118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1.7053025658242404E-13</v>
      </c>
      <c r="BE198" s="14">
        <f>BD198*VLOOKUP('Données projet'!$B$11,Paramètres!$A$1:$I$89,3,0)*VLOOKUP('Données projet'!$B$11,Paramètres!$A$1:$I$89,5,0)</f>
        <v>1.3301360013429075E-13</v>
      </c>
      <c r="BF198" s="14">
        <f t="shared" si="167"/>
        <v>1.9329766731057041E-12</v>
      </c>
      <c r="BG198" s="22">
        <f t="shared" si="168"/>
        <v>3.5982663925596575E-12</v>
      </c>
      <c r="BH198" s="62">
        <f t="shared" si="194"/>
        <v>293.3333333333369</v>
      </c>
      <c r="BI198" s="62">
        <f ca="1">AVERAGE(OFFSET($BH$3,0,0,'Données projet'!$E$11+1,1))-AVERAGE(OFFSET($H$3,0,0,'Données projet'!$E$11+1,1))</f>
        <v>312.09994042858187</v>
      </c>
      <c r="BJ198" s="62">
        <f t="shared" si="206"/>
        <v>283.48738729114024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-2.2737367544323206E-13</v>
      </c>
      <c r="BZ198" s="14">
        <f>BY198*VLOOKUP('Données projet'!$B$12,Paramètres!$A$1:$I$89,3,0)*VLOOKUP('Données projet'!$B$12,Paramètres!$A$1:$I$89,5,0)</f>
        <v>-1.8089849618263545E-13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370.79299728190904</v>
      </c>
      <c r="CE198" s="62">
        <f t="shared" si="207"/>
        <v>404.95703400805775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-1.4210854715202004E-13</v>
      </c>
      <c r="CU198" s="18">
        <f>CT198*VLOOKUP('Données projet'!$B$13,Paramètres!$A$1:$I$89,3,0)*VLOOKUP('Données projet'!$B$13,Paramètres!$A$1:$I$89,5,0)</f>
        <v>-1.3523049346986227E-13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351.34897243264044</v>
      </c>
      <c r="CZ198" s="62">
        <f t="shared" si="208"/>
        <v>268.39685058071603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-5.6843418860808015E-14</v>
      </c>
      <c r="DP198" s="18">
        <f>DO198*VLOOKUP('Données projet'!$B$14,Paramètres!$A$1:$I$89,3,0)*VLOOKUP('Données projet'!$B$14,Paramètres!$A$1:$I$89,5,0)</f>
        <v>-3.813056537183002E-14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290.46086333591074</v>
      </c>
      <c r="DU198" s="62">
        <f t="shared" si="209"/>
        <v>236.8495901994267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-1.1368683772161603E-13</v>
      </c>
      <c r="EK198" s="18">
        <f>EJ198*VLOOKUP('Données projet'!$B$15,Paramètres!$A$1:$I$89,3,0)*VLOOKUP('Données projet'!$B$15,Paramètres!$A$1:$I$89,5,0)</f>
        <v>-9.2222762759774927E-14</v>
      </c>
      <c r="EL198" s="14" t="e">
        <f t="shared" si="179"/>
        <v>#NUM!</v>
      </c>
      <c r="EM198" s="22" t="e">
        <f t="shared" si="180"/>
        <v>#NUM!</v>
      </c>
      <c r="EN198" s="62" t="e">
        <f t="shared" si="198"/>
        <v>#NUM!</v>
      </c>
      <c r="EO198" s="62">
        <f ca="1">AVERAGE(OFFSET($EN$3,0,0,'Données projet'!$E$15+1,1))-AVERAGE(OFFSET($H$3,0,0,'Données projet'!$E$15+1,1))</f>
        <v>256.19915261735281</v>
      </c>
      <c r="EP198" s="62">
        <f t="shared" si="210"/>
        <v>297.47246687305056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-1.1368683772161603E-13</v>
      </c>
      <c r="O199" s="14">
        <f>N199*VLOOKUP('Données projet'!$B$9,Paramètres!$A$1:$I$89,3,0)*VLOOKUP('Données projet'!$B$9,Paramètres!$A$1:$I$89,5,0)</f>
        <v>-9.7543306765146564E-14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446.27304516866047</v>
      </c>
      <c r="T199" s="62">
        <f t="shared" si="204"/>
        <v>230.82970731138215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-3.4106051316484809E-13</v>
      </c>
      <c r="AJ199" s="14">
        <f>AI199*VLOOKUP('Données projet'!$B$10,Paramètres!$A$1:$I$89,3,0)*VLOOKUP('Données projet'!$B$10,Paramètres!$A$1:$I$89,5,0)</f>
        <v>-2.7134774427395314E-13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427.78067187784063</v>
      </c>
      <c r="AO199" s="62">
        <f t="shared" si="205"/>
        <v>464.22892523825118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1.7053025658242404E-13</v>
      </c>
      <c r="BE199" s="14">
        <f>BD199*VLOOKUP('Données projet'!$B$11,Paramètres!$A$1:$I$89,3,0)*VLOOKUP('Données projet'!$B$11,Paramètres!$A$1:$I$89,5,0)</f>
        <v>1.3301360013429075E-13</v>
      </c>
      <c r="BF199" s="14">
        <f t="shared" si="167"/>
        <v>1.9329766731057041E-12</v>
      </c>
      <c r="BG199" s="22">
        <f t="shared" si="168"/>
        <v>3.5982663925596575E-12</v>
      </c>
      <c r="BH199" s="62">
        <f t="shared" si="194"/>
        <v>293.3333333333369</v>
      </c>
      <c r="BI199" s="62">
        <f ca="1">AVERAGE(OFFSET($BH$3,0,0,'Données projet'!$E$11+1,1))-AVERAGE(OFFSET($H$3,0,0,'Données projet'!$E$11+1,1))</f>
        <v>312.09994042858187</v>
      </c>
      <c r="BJ199" s="62">
        <f t="shared" si="206"/>
        <v>283.48738729114024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-2.2737367544323206E-13</v>
      </c>
      <c r="BZ199" s="14">
        <f>BY199*VLOOKUP('Données projet'!$B$12,Paramètres!$A$1:$I$89,3,0)*VLOOKUP('Données projet'!$B$12,Paramètres!$A$1:$I$89,5,0)</f>
        <v>-1.8089849618263545E-13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370.79299728190904</v>
      </c>
      <c r="CE199" s="62">
        <f t="shared" si="207"/>
        <v>404.95703400805775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-1.4210854715202004E-13</v>
      </c>
      <c r="CU199" s="18">
        <f>CT199*VLOOKUP('Données projet'!$B$13,Paramètres!$A$1:$I$89,3,0)*VLOOKUP('Données projet'!$B$13,Paramètres!$A$1:$I$89,5,0)</f>
        <v>-1.3523049346986227E-13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351.34897243264044</v>
      </c>
      <c r="CZ199" s="62">
        <f t="shared" si="208"/>
        <v>268.39685058071603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-5.6843418860808015E-14</v>
      </c>
      <c r="DP199" s="18">
        <f>DO199*VLOOKUP('Données projet'!$B$14,Paramètres!$A$1:$I$89,3,0)*VLOOKUP('Données projet'!$B$14,Paramètres!$A$1:$I$89,5,0)</f>
        <v>-3.813056537183002E-14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290.46086333591074</v>
      </c>
      <c r="DU199" s="62">
        <f t="shared" si="209"/>
        <v>236.8495901994267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-1.1368683772161603E-13</v>
      </c>
      <c r="EK199" s="18">
        <f>EJ199*VLOOKUP('Données projet'!$B$15,Paramètres!$A$1:$I$89,3,0)*VLOOKUP('Données projet'!$B$15,Paramètres!$A$1:$I$89,5,0)</f>
        <v>-9.2222762759774927E-14</v>
      </c>
      <c r="EL199" s="14" t="e">
        <f t="shared" si="179"/>
        <v>#NUM!</v>
      </c>
      <c r="EM199" s="22" t="e">
        <f t="shared" si="180"/>
        <v>#NUM!</v>
      </c>
      <c r="EN199" s="62" t="e">
        <f t="shared" si="198"/>
        <v>#NUM!</v>
      </c>
      <c r="EO199" s="62">
        <f ca="1">AVERAGE(OFFSET($EN$3,0,0,'Données projet'!$E$15+1,1))-AVERAGE(OFFSET($H$3,0,0,'Données projet'!$E$15+1,1))</f>
        <v>256.19915261735281</v>
      </c>
      <c r="EP199" s="62">
        <f t="shared" si="210"/>
        <v>297.47246687305056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-1.1368683772161603E-13</v>
      </c>
      <c r="O200" s="14">
        <f>N200*VLOOKUP('Données projet'!$B$9,Paramètres!$A$1:$I$89,3,0)*VLOOKUP('Données projet'!$B$9,Paramètres!$A$1:$I$89,5,0)</f>
        <v>-9.7543306765146564E-14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446.27304516866047</v>
      </c>
      <c r="T200" s="62">
        <f t="shared" si="204"/>
        <v>230.82970731138215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-3.4106051316484809E-13</v>
      </c>
      <c r="AJ200" s="14">
        <f>AI200*VLOOKUP('Données projet'!$B$10,Paramètres!$A$1:$I$89,3,0)*VLOOKUP('Données projet'!$B$10,Paramètres!$A$1:$I$89,5,0)</f>
        <v>-2.7134774427395314E-13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427.78067187784063</v>
      </c>
      <c r="AO200" s="62">
        <f t="shared" si="205"/>
        <v>464.22892523825118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1.7053025658242404E-13</v>
      </c>
      <c r="BE200" s="14">
        <f>BD200*VLOOKUP('Données projet'!$B$11,Paramètres!$A$1:$I$89,3,0)*VLOOKUP('Données projet'!$B$11,Paramètres!$A$1:$I$89,5,0)</f>
        <v>1.3301360013429075E-13</v>
      </c>
      <c r="BF200" s="14">
        <f t="shared" si="167"/>
        <v>1.9329766731057041E-12</v>
      </c>
      <c r="BG200" s="22">
        <f t="shared" si="168"/>
        <v>3.5982663925596575E-12</v>
      </c>
      <c r="BH200" s="62">
        <f t="shared" si="194"/>
        <v>293.3333333333369</v>
      </c>
      <c r="BI200" s="62">
        <f ca="1">AVERAGE(OFFSET($BH$3,0,0,'Données projet'!$E$11+1,1))-AVERAGE(OFFSET($H$3,0,0,'Données projet'!$E$11+1,1))</f>
        <v>312.09994042858187</v>
      </c>
      <c r="BJ200" s="62">
        <f t="shared" si="206"/>
        <v>283.48738729114024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-2.2737367544323206E-13</v>
      </c>
      <c r="BZ200" s="14">
        <f>BY200*VLOOKUP('Données projet'!$B$12,Paramètres!$A$1:$I$89,3,0)*VLOOKUP('Données projet'!$B$12,Paramètres!$A$1:$I$89,5,0)</f>
        <v>-1.8089849618263545E-13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370.79299728190904</v>
      </c>
      <c r="CE200" s="62">
        <f t="shared" si="207"/>
        <v>404.95703400805775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-1.4210854715202004E-13</v>
      </c>
      <c r="CU200" s="18">
        <f>CT200*VLOOKUP('Données projet'!$B$13,Paramètres!$A$1:$I$89,3,0)*VLOOKUP('Données projet'!$B$13,Paramètres!$A$1:$I$89,5,0)</f>
        <v>-1.3523049346986227E-13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351.34897243264044</v>
      </c>
      <c r="CZ200" s="62">
        <f t="shared" si="208"/>
        <v>268.39685058071603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-5.6843418860808015E-14</v>
      </c>
      <c r="DP200" s="18">
        <f>DO200*VLOOKUP('Données projet'!$B$14,Paramètres!$A$1:$I$89,3,0)*VLOOKUP('Données projet'!$B$14,Paramètres!$A$1:$I$89,5,0)</f>
        <v>-3.813056537183002E-14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290.46086333591074</v>
      </c>
      <c r="DU200" s="62">
        <f t="shared" si="209"/>
        <v>236.8495901994267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-1.1368683772161603E-13</v>
      </c>
      <c r="EK200" s="18">
        <f>EJ200*VLOOKUP('Données projet'!$B$15,Paramètres!$A$1:$I$89,3,0)*VLOOKUP('Données projet'!$B$15,Paramètres!$A$1:$I$89,5,0)</f>
        <v>-9.2222762759774927E-14</v>
      </c>
      <c r="EL200" s="14" t="e">
        <f t="shared" si="179"/>
        <v>#NUM!</v>
      </c>
      <c r="EM200" s="22" t="e">
        <f t="shared" si="180"/>
        <v>#NUM!</v>
      </c>
      <c r="EN200" s="62" t="e">
        <f t="shared" si="198"/>
        <v>#NUM!</v>
      </c>
      <c r="EO200" s="62">
        <f ca="1">AVERAGE(OFFSET($EN$3,0,0,'Données projet'!$E$15+1,1))-AVERAGE(OFFSET($H$3,0,0,'Données projet'!$E$15+1,1))</f>
        <v>256.19915261735281</v>
      </c>
      <c r="EP200" s="62">
        <f t="shared" si="210"/>
        <v>297.47246687305056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-1.1368683772161603E-13</v>
      </c>
      <c r="O201" s="14">
        <f>N201*VLOOKUP('Données projet'!$B$9,Paramètres!$A$1:$I$89,3,0)*VLOOKUP('Données projet'!$B$9,Paramètres!$A$1:$I$89,5,0)</f>
        <v>-9.7543306765146564E-14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446.27304516866047</v>
      </c>
      <c r="T201" s="62">
        <f t="shared" si="204"/>
        <v>230.82970731138215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-3.4106051316484809E-13</v>
      </c>
      <c r="AJ201" s="14">
        <f>AI201*VLOOKUP('Données projet'!$B$10,Paramètres!$A$1:$I$89,3,0)*VLOOKUP('Données projet'!$B$10,Paramètres!$A$1:$I$89,5,0)</f>
        <v>-2.7134774427395314E-13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427.78067187784063</v>
      </c>
      <c r="AO201" s="62">
        <f t="shared" si="205"/>
        <v>464.22892523825118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1.7053025658242404E-13</v>
      </c>
      <c r="BE201" s="14">
        <f>BD201*VLOOKUP('Données projet'!$B$11,Paramètres!$A$1:$I$89,3,0)*VLOOKUP('Données projet'!$B$11,Paramètres!$A$1:$I$89,5,0)</f>
        <v>1.3301360013429075E-13</v>
      </c>
      <c r="BF201" s="14">
        <f t="shared" si="167"/>
        <v>1.9329766731057041E-12</v>
      </c>
      <c r="BG201" s="22">
        <f t="shared" si="168"/>
        <v>3.5982663925596575E-12</v>
      </c>
      <c r="BH201" s="62">
        <f t="shared" si="194"/>
        <v>293.3333333333369</v>
      </c>
      <c r="BI201" s="62">
        <f ca="1">AVERAGE(OFFSET($BH$3,0,0,'Données projet'!$E$11+1,1))-AVERAGE(OFFSET($H$3,0,0,'Données projet'!$E$11+1,1))</f>
        <v>312.09994042858187</v>
      </c>
      <c r="BJ201" s="62">
        <f t="shared" si="206"/>
        <v>283.48738729114024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-2.2737367544323206E-13</v>
      </c>
      <c r="BZ201" s="14">
        <f>BY201*VLOOKUP('Données projet'!$B$12,Paramètres!$A$1:$I$89,3,0)*VLOOKUP('Données projet'!$B$12,Paramètres!$A$1:$I$89,5,0)</f>
        <v>-1.8089849618263545E-13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370.79299728190904</v>
      </c>
      <c r="CE201" s="62">
        <f t="shared" si="207"/>
        <v>404.95703400805775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-1.4210854715202004E-13</v>
      </c>
      <c r="CU201" s="18">
        <f>CT201*VLOOKUP('Données projet'!$B$13,Paramètres!$A$1:$I$89,3,0)*VLOOKUP('Données projet'!$B$13,Paramètres!$A$1:$I$89,5,0)</f>
        <v>-1.3523049346986227E-13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351.34897243264044</v>
      </c>
      <c r="CZ201" s="62">
        <f t="shared" si="208"/>
        <v>268.39685058071603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-5.6843418860808015E-14</v>
      </c>
      <c r="DP201" s="18">
        <f>DO201*VLOOKUP('Données projet'!$B$14,Paramètres!$A$1:$I$89,3,0)*VLOOKUP('Données projet'!$B$14,Paramètres!$A$1:$I$89,5,0)</f>
        <v>-3.813056537183002E-14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290.46086333591074</v>
      </c>
      <c r="DU201" s="62">
        <f t="shared" si="209"/>
        <v>236.8495901994267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-1.1368683772161603E-13</v>
      </c>
      <c r="EK201" s="18">
        <f>EJ201*VLOOKUP('Données projet'!$B$15,Paramètres!$A$1:$I$89,3,0)*VLOOKUP('Données projet'!$B$15,Paramètres!$A$1:$I$89,5,0)</f>
        <v>-9.2222762759774927E-14</v>
      </c>
      <c r="EL201" s="14" t="e">
        <f t="shared" si="179"/>
        <v>#NUM!</v>
      </c>
      <c r="EM201" s="22" t="e">
        <f t="shared" si="180"/>
        <v>#NUM!</v>
      </c>
      <c r="EN201" s="62" t="e">
        <f t="shared" si="198"/>
        <v>#NUM!</v>
      </c>
      <c r="EO201" s="62">
        <f ca="1">AVERAGE(OFFSET($EN$3,0,0,'Données projet'!$E$15+1,1))-AVERAGE(OFFSET($H$3,0,0,'Données projet'!$E$15+1,1))</f>
        <v>256.19915261735281</v>
      </c>
      <c r="EP201" s="62">
        <f t="shared" si="210"/>
        <v>297.47246687305056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-1.1368683772161603E-13</v>
      </c>
      <c r="O202" s="14">
        <f>N202*VLOOKUP('Données projet'!$B$9,Paramètres!$A$1:$I$89,3,0)*VLOOKUP('Données projet'!$B$9,Paramètres!$A$1:$I$89,5,0)</f>
        <v>-9.7543306765146564E-14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446.27304516866047</v>
      </c>
      <c r="T202" s="62">
        <f t="shared" si="204"/>
        <v>230.82970731138215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-3.4106051316484809E-13</v>
      </c>
      <c r="AJ202" s="14">
        <f>AI202*VLOOKUP('Données projet'!$B$10,Paramètres!$A$1:$I$89,3,0)*VLOOKUP('Données projet'!$B$10,Paramètres!$A$1:$I$89,5,0)</f>
        <v>-2.7134774427395314E-13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427.78067187784063</v>
      </c>
      <c r="AO202" s="62">
        <f t="shared" si="205"/>
        <v>464.22892523825118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1.7053025658242404E-13</v>
      </c>
      <c r="BE202" s="14">
        <f>BD202*VLOOKUP('Données projet'!$B$11,Paramètres!$A$1:$I$89,3,0)*VLOOKUP('Données projet'!$B$11,Paramètres!$A$1:$I$89,5,0)</f>
        <v>1.3301360013429075E-13</v>
      </c>
      <c r="BF202" s="14">
        <f t="shared" si="167"/>
        <v>1.9329766731057041E-12</v>
      </c>
      <c r="BG202" s="22">
        <f t="shared" si="168"/>
        <v>3.5982663925596575E-12</v>
      </c>
      <c r="BH202" s="62">
        <f t="shared" si="194"/>
        <v>293.3333333333369</v>
      </c>
      <c r="BI202" s="62">
        <f ca="1">AVERAGE(OFFSET($BH$3,0,0,'Données projet'!$E$11+1,1))-AVERAGE(OFFSET($H$3,0,0,'Données projet'!$E$11+1,1))</f>
        <v>312.09994042858187</v>
      </c>
      <c r="BJ202" s="62">
        <f t="shared" si="206"/>
        <v>283.48738729114024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-2.2737367544323206E-13</v>
      </c>
      <c r="BZ202" s="14">
        <f>BY202*VLOOKUP('Données projet'!$B$12,Paramètres!$A$1:$I$89,3,0)*VLOOKUP('Données projet'!$B$12,Paramètres!$A$1:$I$89,5,0)</f>
        <v>-1.8089849618263545E-13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370.79299728190904</v>
      </c>
      <c r="CE202" s="62">
        <f t="shared" si="207"/>
        <v>404.95703400805775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-1.4210854715202004E-13</v>
      </c>
      <c r="CU202" s="18">
        <f>CT202*VLOOKUP('Données projet'!$B$13,Paramètres!$A$1:$I$89,3,0)*VLOOKUP('Données projet'!$B$13,Paramètres!$A$1:$I$89,5,0)</f>
        <v>-1.3523049346986227E-13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351.34897243264044</v>
      </c>
      <c r="CZ202" s="62">
        <f t="shared" si="208"/>
        <v>268.39685058071603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-5.6843418860808015E-14</v>
      </c>
      <c r="DP202" s="18">
        <f>DO202*VLOOKUP('Données projet'!$B$14,Paramètres!$A$1:$I$89,3,0)*VLOOKUP('Données projet'!$B$14,Paramètres!$A$1:$I$89,5,0)</f>
        <v>-3.813056537183002E-14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290.46086333591074</v>
      </c>
      <c r="DU202" s="62">
        <f t="shared" si="209"/>
        <v>236.8495901994267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-1.1368683772161603E-13</v>
      </c>
      <c r="EK202" s="18">
        <f>EJ202*VLOOKUP('Données projet'!$B$15,Paramètres!$A$1:$I$89,3,0)*VLOOKUP('Données projet'!$B$15,Paramètres!$A$1:$I$89,5,0)</f>
        <v>-9.2222762759774927E-14</v>
      </c>
      <c r="EL202" s="14" t="e">
        <f t="shared" si="179"/>
        <v>#NUM!</v>
      </c>
      <c r="EM202" s="22" t="e">
        <f t="shared" si="180"/>
        <v>#NUM!</v>
      </c>
      <c r="EN202" s="62" t="e">
        <f t="shared" si="198"/>
        <v>#NUM!</v>
      </c>
      <c r="EO202" s="62">
        <f ca="1">AVERAGE(OFFSET($EN$3,0,0,'Données projet'!$E$15+1,1))-AVERAGE(OFFSET($H$3,0,0,'Données projet'!$E$15+1,1))</f>
        <v>256.19915261735281</v>
      </c>
      <c r="EP202" s="62">
        <f t="shared" si="210"/>
        <v>297.47246687305056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-1.1368683772161603E-13</v>
      </c>
      <c r="O203" s="14">
        <f>N203*VLOOKUP('Données projet'!$B$9,Paramètres!$A$1:$I$89,3,0)*VLOOKUP('Données projet'!$B$9,Paramètres!$A$1:$I$89,5,0)</f>
        <v>-9.7543306765146564E-14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446.27304516866047</v>
      </c>
      <c r="T203" s="62">
        <f t="shared" si="204"/>
        <v>230.82970731138215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-3.4106051316484809E-13</v>
      </c>
      <c r="AJ203" s="14">
        <f>AI203*VLOOKUP('Données projet'!$B$10,Paramètres!$A$1:$I$89,3,0)*VLOOKUP('Données projet'!$B$10,Paramètres!$A$1:$I$89,5,0)</f>
        <v>-2.7134774427395314E-13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427.78067187784063</v>
      </c>
      <c r="AO203" s="62">
        <f t="shared" si="205"/>
        <v>464.22892523825118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1.7053025658242404E-13</v>
      </c>
      <c r="BE203" s="14">
        <f>BD203*VLOOKUP('Données projet'!$B$11,Paramètres!$A$1:$I$89,3,0)*VLOOKUP('Données projet'!$B$11,Paramètres!$A$1:$I$89,5,0)</f>
        <v>1.3301360013429075E-13</v>
      </c>
      <c r="BF203" s="14">
        <f t="shared" si="167"/>
        <v>1.9329766731057041E-12</v>
      </c>
      <c r="BG203" s="22">
        <f t="shared" si="168"/>
        <v>3.5982663925596575E-12</v>
      </c>
      <c r="BH203" s="62">
        <f t="shared" si="194"/>
        <v>293.3333333333369</v>
      </c>
      <c r="BI203" s="62">
        <f ca="1">AVERAGE(OFFSET($BH$3,0,0,'Données projet'!$E$11+1,1))-AVERAGE(OFFSET($H$3,0,0,'Données projet'!$E$11+1,1))</f>
        <v>312.09994042858187</v>
      </c>
      <c r="BJ203" s="62">
        <f t="shared" si="206"/>
        <v>283.48738729114024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-2.2737367544323206E-13</v>
      </c>
      <c r="BZ203" s="14">
        <f>BY203*VLOOKUP('Données projet'!$B$12,Paramètres!$A$1:$I$89,3,0)*VLOOKUP('Données projet'!$B$12,Paramètres!$A$1:$I$89,5,0)</f>
        <v>-1.8089849618263545E-13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370.79299728190904</v>
      </c>
      <c r="CE203" s="62">
        <f t="shared" si="207"/>
        <v>404.95703400805775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-1.4210854715202004E-13</v>
      </c>
      <c r="CU203" s="18">
        <f>CT203*VLOOKUP('Données projet'!$B$13,Paramètres!$A$1:$I$89,3,0)*VLOOKUP('Données projet'!$B$13,Paramètres!$A$1:$I$89,5,0)</f>
        <v>-1.3523049346986227E-13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351.34897243264044</v>
      </c>
      <c r="CZ203" s="62">
        <f t="shared" si="208"/>
        <v>268.39685058071603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-5.6843418860808015E-14</v>
      </c>
      <c r="DP203" s="18">
        <f>DO203*VLOOKUP('Données projet'!$B$14,Paramètres!$A$1:$I$89,3,0)*VLOOKUP('Données projet'!$B$14,Paramètres!$A$1:$I$89,5,0)</f>
        <v>-3.813056537183002E-14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290.46086333591074</v>
      </c>
      <c r="DU203" s="62">
        <f t="shared" si="209"/>
        <v>236.8495901994267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-1.1368683772161603E-13</v>
      </c>
      <c r="EK203" s="18">
        <f>EJ203*VLOOKUP('Données projet'!$B$15,Paramètres!$A$1:$I$89,3,0)*VLOOKUP('Données projet'!$B$15,Paramètres!$A$1:$I$89,5,0)</f>
        <v>-9.2222762759774927E-14</v>
      </c>
      <c r="EL203" s="14" t="e">
        <f t="shared" si="179"/>
        <v>#NUM!</v>
      </c>
      <c r="EM203" s="22" t="e">
        <f t="shared" si="180"/>
        <v>#NUM!</v>
      </c>
      <c r="EN203" s="62" t="e">
        <f t="shared" si="198"/>
        <v>#NUM!</v>
      </c>
      <c r="EO203" s="62">
        <f ca="1">AVERAGE(OFFSET($EN$3,0,0,'Données projet'!$E$15+1,1))-AVERAGE(OFFSET($H$3,0,0,'Données projet'!$E$15+1,1))</f>
        <v>256.19915261735281</v>
      </c>
      <c r="EP203" s="62">
        <f t="shared" si="210"/>
        <v>297.47246687305056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1.0759896247253458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1.3423796509621049</v>
      </c>
      <c r="BA205" s="88">
        <f>EXP(LN('Données projet'!B88)/'Données projet'!A88)</f>
        <v>1.2788040393997409</v>
      </c>
      <c r="BV205" s="88">
        <f>EXP(LN('Données projet'!B114)/'Données projet'!A114)</f>
        <v>1.2709816152101407</v>
      </c>
      <c r="CQ205" s="88">
        <f>EXP(LN('Données projet'!B140)/'Données projet'!A140)</f>
        <v>1.2649598798623627</v>
      </c>
      <c r="DL205" s="88">
        <f>EXP(LN('Données projet'!B166)/'Données projet'!A166)</f>
        <v>1.2822890014514785</v>
      </c>
      <c r="EG205" s="88">
        <f>EXP(LN('Données projet'!B192)/'Données projet'!A192)</f>
        <v>1.2457309396155174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C1" zoomScale="85" zoomScaleNormal="85" workbookViewId="0">
      <selection activeCell="C9" sqref="C9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Hêtre</v>
      </c>
      <c r="B6" s="155">
        <f>'Données projet'!D9</f>
        <v>0.33473000000000003</v>
      </c>
      <c r="C6" s="156">
        <f ca="1">IF(OR('Données projet'!B9="",'Données projet'!C9="",'Données projet'!C9=0%),0,Calculateur!S3)</f>
        <v>446.27304516866047</v>
      </c>
      <c r="D6" s="156">
        <f>IF(OR('Données projet'!B9="",'Données projet'!C9="",'Données projet'!C9=0%),0,Calculateur!T3)</f>
        <v>230.82970731138215</v>
      </c>
      <c r="E6" s="156">
        <f ca="1">MIN(C6,D6)</f>
        <v>230.82970731138215</v>
      </c>
      <c r="F6" s="156">
        <f ca="1">E6*B6</f>
        <v>77.265627928338958</v>
      </c>
      <c r="G6" s="156">
        <f ca="1">F6*(100%-'Données projet'!$C$24)*(100%-'Données projet'!$C$25)*(100%-'Données projet'!$C$26)*(100%-'Données projet'!$C$27)</f>
        <v>69.539065135505069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2.0920625000000004</v>
      </c>
      <c r="K6" s="160">
        <f>J6*(100%-'Données projet'!$C$24)*(100%-'Données projet'!$C$25)*(100%-'Données projet'!$C$26)*(100%-'Données projet'!$C$27)</f>
        <v>1.8828562500000003</v>
      </c>
      <c r="L6" s="161">
        <f ca="1">G6+I6+K6</f>
        <v>71.421921385505073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Erable sycomore</v>
      </c>
      <c r="B7" s="163">
        <f>'Données projet'!D10</f>
        <v>0.33473000000000003</v>
      </c>
      <c r="C7" s="156">
        <f ca="1">IF(OR('Données projet'!B10="",'Données projet'!C10="",'Données projet'!C10=0%),0,Calculateur!AN3)</f>
        <v>427.78067187784063</v>
      </c>
      <c r="D7" s="156">
        <f>IF(OR('Données projet'!B10="",'Données projet'!C10="",'Données projet'!C10=0%),0,Calculateur!AO3)</f>
        <v>464.22892523825118</v>
      </c>
      <c r="E7" s="156">
        <f t="shared" ref="E7:E15" ca="1" si="0">MIN(C7,D7)</f>
        <v>427.78067187784063</v>
      </c>
      <c r="F7" s="156">
        <f t="shared" ref="F7:F15" ca="1" si="1">E7*B7</f>
        <v>143.1910242976696</v>
      </c>
      <c r="G7" s="156">
        <f ca="1">F7*(100%-'Données projet'!$C$24)*(100%-'Données projet'!$C$25)*(100%-'Données projet'!$C$26)*(100%-'Données projet'!$C$27)</f>
        <v>128.87192186790264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14.6444375</v>
      </c>
      <c r="K7" s="160">
        <f>J7*(100%-'Données projet'!$C$24)*(100%-'Données projet'!$C$25)*(100%-'Données projet'!$C$26)*(100%-'Données projet'!$C$27)</f>
        <v>13.179993750000001</v>
      </c>
      <c r="L7" s="161">
        <f t="shared" ref="L7:L15" ca="1" si="2">G7+I7+K7</f>
        <v>142.05191561790264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Merisier</v>
      </c>
      <c r="B8" s="163">
        <f>'Données projet'!D11</f>
        <v>0.14025000000000001</v>
      </c>
      <c r="C8" s="156">
        <f ca="1">IF(OR('Données projet'!B11="",'Données projet'!C11="",'Données projet'!C11=0%),0,Calculateur!BI3)</f>
        <v>312.09994042858187</v>
      </c>
      <c r="D8" s="156">
        <f>IF(OR('Données projet'!B11="",'Données projet'!C11="",'Données projet'!C11=0%),0,Calculateur!BJ3)</f>
        <v>283.48738729114024</v>
      </c>
      <c r="E8" s="156">
        <f t="shared" ca="1" si="0"/>
        <v>283.48738729114024</v>
      </c>
      <c r="F8" s="156">
        <f t="shared" ca="1" si="1"/>
        <v>39.759106067582422</v>
      </c>
      <c r="G8" s="156">
        <f ca="1">F8*(100%-'Données projet'!$C$24)*(100%-'Données projet'!$C$25)*(100%-'Données projet'!$C$26)*(100%-'Données projet'!$C$27)</f>
        <v>35.783195460824182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1.9284375000000002</v>
      </c>
      <c r="K8" s="160">
        <f>J8*(100%-'Données projet'!$C$24)*(100%-'Données projet'!$C$25)*(100%-'Données projet'!$C$26)*(100%-'Données projet'!$C$27)</f>
        <v>1.7355937500000003</v>
      </c>
      <c r="L8" s="161">
        <f t="shared" ca="1" si="2"/>
        <v>37.518789210824181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Erable plane</v>
      </c>
      <c r="B9" s="163">
        <f>'Données projet'!D12</f>
        <v>0.14025000000000001</v>
      </c>
      <c r="C9" s="156">
        <f ca="1">IF(OR('Données projet'!B12="",'Données projet'!C12="",'Données projet'!C12=0%),0,Calculateur!CD3)</f>
        <v>370.79299728190904</v>
      </c>
      <c r="D9" s="156">
        <f>IF(OR('Données projet'!B12="",'Données projet'!C12="",'Données projet'!C12=0%),0,Calculateur!CE3)</f>
        <v>404.95703400805775</v>
      </c>
      <c r="E9" s="156">
        <f t="shared" ca="1" si="0"/>
        <v>370.79299728190904</v>
      </c>
      <c r="F9" s="156">
        <f t="shared" ca="1" si="1"/>
        <v>52.003717868787746</v>
      </c>
      <c r="G9" s="156">
        <f ca="1">F9*(100%-'Données projet'!$C$24)*(100%-'Données projet'!$C$25)*(100%-'Données projet'!$C$26)*(100%-'Données projet'!$C$27)</f>
        <v>46.80334608190897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4.8035625000000008</v>
      </c>
      <c r="K9" s="160">
        <f>J9*(100%-'Données projet'!$C$24)*(100%-'Données projet'!$C$25)*(100%-'Données projet'!$C$26)*(100%-'Données projet'!$C$27)</f>
        <v>4.323206250000001</v>
      </c>
      <c r="L9" s="161">
        <f t="shared" ca="1" si="2"/>
        <v>51.126552331908968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Charme</v>
      </c>
      <c r="B10" s="163">
        <f>'Données projet'!D13</f>
        <v>0.30668000000000001</v>
      </c>
      <c r="C10" s="156">
        <f ca="1">IF(OR('Données projet'!B13="",'Données projet'!C13="",'Données projet'!C13=0%),0,Calculateur!CY3)</f>
        <v>351.34897243264044</v>
      </c>
      <c r="D10" s="156">
        <f>IF(OR('Données projet'!B13="",'Données projet'!C13="",'Données projet'!C13=0%),0,Calculateur!CZ3)</f>
        <v>268.39685058071603</v>
      </c>
      <c r="E10" s="156">
        <f t="shared" ca="1" si="0"/>
        <v>268.39685058071603</v>
      </c>
      <c r="F10" s="156">
        <f t="shared" ca="1" si="1"/>
        <v>82.311946136093994</v>
      </c>
      <c r="G10" s="156">
        <f ca="1">F10*(100%-'Données projet'!$C$24)*(100%-'Données projet'!$C$25)*(100%-'Données projet'!$C$26)*(100%-'Données projet'!$C$27)</f>
        <v>74.08075152248459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3.0471410256410252</v>
      </c>
      <c r="K10" s="160">
        <f>J10*(100%-'Données projet'!$C$24)*(100%-'Données projet'!$C$25)*(100%-'Données projet'!$C$26)*(100%-'Données projet'!$C$27)</f>
        <v>2.7424269230769229</v>
      </c>
      <c r="L10" s="161">
        <f t="shared" ca="1" si="2"/>
        <v>76.82317844556151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Tilleul</v>
      </c>
      <c r="B11" s="163">
        <f>'Données projet'!D14</f>
        <v>0.30668000000000001</v>
      </c>
      <c r="C11" s="156">
        <f ca="1">IF(OR('Données projet'!B14="",'Données projet'!C14="",'Données projet'!C14=0%),0,Calculateur!DT3)</f>
        <v>290.46086333591074</v>
      </c>
      <c r="D11" s="156">
        <f>IF(OR('Données projet'!B14="",'Données projet'!C14="",'Données projet'!C14=0%),0,Calculateur!DU3)</f>
        <v>236.8495901994267</v>
      </c>
      <c r="E11" s="156">
        <f t="shared" ca="1" si="0"/>
        <v>236.8495901994267</v>
      </c>
      <c r="F11" s="156">
        <f t="shared" ca="1" si="1"/>
        <v>72.637032322360184</v>
      </c>
      <c r="G11" s="156">
        <f ca="1">F11*(100%-'Données projet'!$C$24)*(100%-'Données projet'!$C$25)*(100%-'Données projet'!$C$26)*(100%-'Données projet'!$C$27)</f>
        <v>65.373329090124173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3.9809423076923074</v>
      </c>
      <c r="K11" s="160">
        <f>J11*(100%-'Données projet'!$C$24)*(100%-'Données projet'!$C$25)*(100%-'Données projet'!$C$26)*(100%-'Données projet'!$C$27)</f>
        <v>3.5828480769230766</v>
      </c>
      <c r="L11" s="161">
        <f t="shared" ca="1" si="2"/>
        <v>68.956177167047244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Bouleau verruqueux</v>
      </c>
      <c r="B12" s="163">
        <f>'Données projet'!D15</f>
        <v>0.30668000000000001</v>
      </c>
      <c r="C12" s="156">
        <f ca="1">IF(OR('Données projet'!B15="",'Données projet'!C15="",'Données projet'!C15=0%),0,Calculateur!EO3)</f>
        <v>256.19915261735281</v>
      </c>
      <c r="D12" s="156">
        <f>IF(OR('Données projet'!B15="",'Données projet'!C15="",'Données projet'!C15=0%),0,Calculateur!EP3)</f>
        <v>297.47246687305056</v>
      </c>
      <c r="E12" s="156">
        <f t="shared" ca="1" si="0"/>
        <v>256.19915261735281</v>
      </c>
      <c r="F12" s="156">
        <f t="shared" ca="1" si="1"/>
        <v>78.571156124689765</v>
      </c>
      <c r="G12" s="156">
        <f ca="1">F12*(100%-'Données projet'!$C$24)*(100%-'Données projet'!$C$25)*(100%-'Données projet'!$C$26)*(100%-'Données projet'!$C$27)</f>
        <v>70.714040512220791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3.0668000000000002</v>
      </c>
      <c r="K12" s="160">
        <f>J12*(100%-'Données projet'!$C$24)*(100%-'Données projet'!$C$25)*(100%-'Données projet'!$C$26)*(100%-'Données projet'!$C$27)</f>
        <v>2.7601200000000001</v>
      </c>
      <c r="L12" s="161">
        <f t="shared" ca="1" si="2"/>
        <v>73.474160512220791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545.73961074552267</v>
      </c>
      <c r="G16" s="175">
        <f t="shared" ca="1" si="3"/>
        <v>491.16564967097042</v>
      </c>
      <c r="H16" s="176">
        <f t="shared" si="3"/>
        <v>0</v>
      </c>
      <c r="I16" s="176">
        <f t="shared" si="3"/>
        <v>0</v>
      </c>
      <c r="J16" s="177">
        <f t="shared" si="3"/>
        <v>33.563383333333334</v>
      </c>
      <c r="K16" s="177">
        <f t="shared" si="3"/>
        <v>30.207045000000004</v>
      </c>
      <c r="L16" s="178">
        <f t="shared" ca="1" si="3"/>
        <v>521.37269467097042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Hêtre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Erable sycomore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Merisier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Erable plane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Charme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Tilleul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Bouleau verruqueux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S10" zoomScale="90" zoomScaleNormal="90" workbookViewId="0">
      <selection activeCell="C193" sqref="C193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Hêtre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1263.2265122398692</v>
      </c>
      <c r="U10" s="190">
        <f>'Données projet'!D9</f>
        <v>0.33473000000000003</v>
      </c>
      <c r="V10" s="189">
        <f>U10*T10</f>
        <v>422.83981044205143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Erable sycomore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1698.7067864343862</v>
      </c>
      <c r="U11" s="190">
        <f>'Données projet'!D10</f>
        <v>0.33473000000000003</v>
      </c>
      <c r="V11" s="189">
        <f t="shared" ref="V11" si="0">U11*T11</f>
        <v>568.60812262318211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Merisier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2346.1489261446409</v>
      </c>
      <c r="U12" s="190">
        <f>'Données projet'!D11</f>
        <v>0.14025000000000001</v>
      </c>
      <c r="V12" s="189">
        <f t="shared" ref="V12:V19" si="1">U12*T12</f>
        <v>329.04738689178589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plane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1234.0924540984138</v>
      </c>
      <c r="U13" s="190">
        <f>'Données projet'!D12</f>
        <v>0.14025000000000001</v>
      </c>
      <c r="V13" s="189">
        <f t="shared" si="1"/>
        <v>173.08146668730254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Hêtre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Charme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403.10224137229363</v>
      </c>
      <c r="U14" s="190">
        <f>'Données projet'!D13</f>
        <v>0.30668000000000001</v>
      </c>
      <c r="V14" s="189">
        <f t="shared" si="1"/>
        <v>123.62339538405502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Tilleul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527.76948819289532</v>
      </c>
      <c r="U15" s="190">
        <f>'Données projet'!D14</f>
        <v>0.30668000000000001</v>
      </c>
      <c r="V15" s="189">
        <f t="shared" si="1"/>
        <v>161.85634663899714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Bouleau verruqueux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842.11859777471182</v>
      </c>
      <c r="U16" s="190">
        <f>'Données projet'!D15</f>
        <v>0.30668000000000001</v>
      </c>
      <c r="V16" s="189">
        <f t="shared" si="1"/>
        <v>258.26093156554862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10209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-17053.512539767078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21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12138.930363433476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27</v>
      </c>
      <c r="B25" s="193">
        <f>'Données projet'!D38</f>
        <v>12</v>
      </c>
      <c r="C25" s="206">
        <v>10</v>
      </c>
      <c r="D25" s="194">
        <f t="shared" si="2"/>
        <v>120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41">
        <f ca="1">T23-T24</f>
        <v>-29192.442903200554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30</v>
      </c>
      <c r="B26" s="193">
        <f>'Données projet'!D39</f>
        <v>13</v>
      </c>
      <c r="C26" s="206">
        <v>10</v>
      </c>
      <c r="D26" s="194">
        <f t="shared" si="2"/>
        <v>130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36</v>
      </c>
      <c r="B27" s="193">
        <f>'Données projet'!D40</f>
        <v>60</v>
      </c>
      <c r="C27" s="206">
        <v>10</v>
      </c>
      <c r="D27" s="194">
        <f t="shared" si="2"/>
        <v>600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42</v>
      </c>
      <c r="B28" s="193">
        <f>'Données projet'!D41</f>
        <v>59</v>
      </c>
      <c r="C28" s="206">
        <v>15</v>
      </c>
      <c r="D28" s="194">
        <f t="shared" si="2"/>
        <v>885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48</v>
      </c>
      <c r="B29" s="193">
        <f>'Données projet'!D42</f>
        <v>63</v>
      </c>
      <c r="C29" s="206">
        <v>20</v>
      </c>
      <c r="D29" s="194">
        <f t="shared" si="2"/>
        <v>1260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54</v>
      </c>
      <c r="B30" s="193">
        <f>'Données projet'!D43</f>
        <v>64</v>
      </c>
      <c r="C30" s="206">
        <v>20</v>
      </c>
      <c r="D30" s="194">
        <f t="shared" si="2"/>
        <v>1280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6491.4066114617517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61</v>
      </c>
      <c r="C31" s="206">
        <v>25</v>
      </c>
      <c r="D31" s="194">
        <f t="shared" si="2"/>
        <v>1525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69</v>
      </c>
      <c r="B32" s="193">
        <f>'Données projet'!D45</f>
        <v>84</v>
      </c>
      <c r="C32" s="206">
        <v>30</v>
      </c>
      <c r="D32" s="194">
        <f t="shared" si="2"/>
        <v>2520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78</v>
      </c>
      <c r="B33" s="193">
        <f>'Données projet'!D46</f>
        <v>39</v>
      </c>
      <c r="C33" s="206">
        <v>40</v>
      </c>
      <c r="D33" s="194">
        <f t="shared" si="2"/>
        <v>1560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84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90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96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99</v>
      </c>
      <c r="B37" s="193">
        <f>'Données projet'!D50</f>
        <v>591</v>
      </c>
      <c r="C37" s="206">
        <v>50</v>
      </c>
      <c r="D37" s="194">
        <f t="shared" si="2"/>
        <v>29550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Erable sycomore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/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/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10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15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20</v>
      </c>
      <c r="B56" s="193">
        <f>'Données projet'!D64</f>
        <v>91</v>
      </c>
      <c r="C56" s="204">
        <v>10</v>
      </c>
      <c r="D56" s="191">
        <f t="shared" si="4"/>
        <v>910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25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30</v>
      </c>
      <c r="B58" s="193">
        <f>'Données projet'!D66</f>
        <v>84</v>
      </c>
      <c r="C58" s="204">
        <v>10</v>
      </c>
      <c r="D58" s="191">
        <f t="shared" si="4"/>
        <v>840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35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40</v>
      </c>
      <c r="B60" s="193">
        <f>'Données projet'!D68</f>
        <v>82</v>
      </c>
      <c r="C60" s="204">
        <v>15</v>
      </c>
      <c r="D60" s="191">
        <f t="shared" si="4"/>
        <v>1230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45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50</v>
      </c>
      <c r="B62" s="193">
        <f>'Données projet'!D70</f>
        <v>47</v>
      </c>
      <c r="C62" s="204">
        <v>30</v>
      </c>
      <c r="D62" s="191">
        <f t="shared" si="4"/>
        <v>1410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55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60</v>
      </c>
      <c r="B64" s="193">
        <f>'Données projet'!D72</f>
        <v>35</v>
      </c>
      <c r="C64" s="204">
        <v>35</v>
      </c>
      <c r="D64" s="191">
        <f t="shared" si="4"/>
        <v>1225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65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70</v>
      </c>
      <c r="B66" s="193">
        <f>'Données projet'!D74</f>
        <v>31</v>
      </c>
      <c r="C66" s="204">
        <v>40</v>
      </c>
      <c r="D66" s="191">
        <f t="shared" si="4"/>
        <v>1240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75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80</v>
      </c>
      <c r="B68" s="193">
        <f>'Données projet'!D76</f>
        <v>396</v>
      </c>
      <c r="C68" s="204">
        <v>50</v>
      </c>
      <c r="D68" s="191">
        <f t="shared" si="4"/>
        <v>19800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Merisier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39.606995055816903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37.901430675422873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36.269311651122379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34.707475264231938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/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33.212894989695648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31.782674631287698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15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30.414042709366225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20</v>
      </c>
      <c r="B86" s="193">
        <f>'Données projet'!D89</f>
        <v>28</v>
      </c>
      <c r="C86" s="204">
        <v>10</v>
      </c>
      <c r="D86" s="191">
        <f t="shared" ref="D86:D104" si="6">B86*C86</f>
        <v>280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29.104347090302607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25</v>
      </c>
      <c r="B87" s="193">
        <f>'Données projet'!D90</f>
        <v>27</v>
      </c>
      <c r="C87" s="204">
        <v>15</v>
      </c>
      <c r="D87" s="191">
        <f t="shared" si="6"/>
        <v>405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27.851049847179539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31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26.6517223417986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37</v>
      </c>
      <c r="B89" s="193">
        <f>'Données projet'!D92</f>
        <v>72</v>
      </c>
      <c r="C89" s="204">
        <v>20</v>
      </c>
      <c r="D89" s="191">
        <f t="shared" si="6"/>
        <v>1440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25.504040518467566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44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24.405780400447433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52</v>
      </c>
      <c r="B91" s="193">
        <f>'Données projet'!D94</f>
        <v>91</v>
      </c>
      <c r="C91" s="204">
        <v>60</v>
      </c>
      <c r="D91" s="191">
        <f t="shared" si="6"/>
        <v>5460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23.354813780332478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60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22.349104096011942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69</v>
      </c>
      <c r="B93" s="193">
        <f>'Données projet'!D96</f>
        <v>375</v>
      </c>
      <c r="C93" s="204">
        <v>70</v>
      </c>
      <c r="D93" s="191">
        <f t="shared" si="6"/>
        <v>26250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21.386702484221956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Erable plane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/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/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/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/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10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15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20</v>
      </c>
      <c r="B118" s="193">
        <f>'Données projet'!D116</f>
        <v>67</v>
      </c>
      <c r="C118" s="204">
        <v>10</v>
      </c>
      <c r="D118" s="191">
        <f t="shared" si="8"/>
        <v>670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25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30</v>
      </c>
      <c r="B120" s="193">
        <f>'Données projet'!D118</f>
        <v>70</v>
      </c>
      <c r="C120" s="204">
        <v>10</v>
      </c>
      <c r="D120" s="191">
        <f t="shared" si="8"/>
        <v>700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35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40</v>
      </c>
      <c r="B122" s="193">
        <f>'Données projet'!D120</f>
        <v>70</v>
      </c>
      <c r="C122" s="204">
        <v>15</v>
      </c>
      <c r="D122" s="191">
        <f t="shared" si="8"/>
        <v>1050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45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50</v>
      </c>
      <c r="B124" s="193">
        <f>'Données projet'!D122</f>
        <v>43</v>
      </c>
      <c r="C124" s="204">
        <v>20</v>
      </c>
      <c r="D124" s="191">
        <f t="shared" si="8"/>
        <v>860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55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60</v>
      </c>
      <c r="B126" s="193">
        <f>'Données projet'!D124</f>
        <v>30</v>
      </c>
      <c r="C126" s="204">
        <v>25</v>
      </c>
      <c r="D126" s="191">
        <f t="shared" si="8"/>
        <v>750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65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70</v>
      </c>
      <c r="B128" s="193">
        <f>'Données projet'!D126</f>
        <v>26</v>
      </c>
      <c r="C128" s="204">
        <v>30</v>
      </c>
      <c r="D128" s="191">
        <f t="shared" si="8"/>
        <v>780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75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80</v>
      </c>
      <c r="B130" s="193">
        <f>'Données projet'!D128</f>
        <v>342</v>
      </c>
      <c r="C130" s="204">
        <v>40</v>
      </c>
      <c r="D130" s="191">
        <f t="shared" si="8"/>
        <v>13680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Charme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15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20</v>
      </c>
      <c r="B148" s="187">
        <f>'Données projet'!D141</f>
        <v>15.384615384615383</v>
      </c>
      <c r="C148" s="204">
        <v>10</v>
      </c>
      <c r="D148" s="194">
        <f t="shared" ref="D148:D166" si="10">B148*C148</f>
        <v>153.84615384615384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25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30</v>
      </c>
      <c r="B150" s="187">
        <f>'Données projet'!D143</f>
        <v>24.358974358974358</v>
      </c>
      <c r="C150" s="204">
        <v>10</v>
      </c>
      <c r="D150" s="194">
        <f t="shared" si="10"/>
        <v>243.58974358974359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35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40</v>
      </c>
      <c r="B152" s="187">
        <f>'Données projet'!D145</f>
        <v>27.564102564102562</v>
      </c>
      <c r="C152" s="204">
        <v>15</v>
      </c>
      <c r="D152" s="194">
        <f t="shared" si="10"/>
        <v>413.46153846153845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45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50</v>
      </c>
      <c r="B154" s="187">
        <f>'Données projet'!D147</f>
        <v>28.205128205128204</v>
      </c>
      <c r="C154" s="204">
        <v>15</v>
      </c>
      <c r="D154" s="194">
        <f t="shared" si="10"/>
        <v>423.07692307692309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55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60</v>
      </c>
      <c r="B156" s="187">
        <f>'Données projet'!D149</f>
        <v>28.205128205128204</v>
      </c>
      <c r="C156" s="204">
        <v>20</v>
      </c>
      <c r="D156" s="194">
        <f t="shared" si="10"/>
        <v>564.10256410256409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65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70</v>
      </c>
      <c r="B158" s="187">
        <f>'Données projet'!D151</f>
        <v>27.564102564102562</v>
      </c>
      <c r="C158" s="204">
        <v>25</v>
      </c>
      <c r="D158" s="194">
        <f t="shared" si="10"/>
        <v>689.10256410256409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75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80</v>
      </c>
      <c r="B160" s="187">
        <f>'Données projet'!D153</f>
        <v>26.282051282051281</v>
      </c>
      <c r="C160" s="204">
        <v>25</v>
      </c>
      <c r="D160" s="194">
        <f t="shared" si="10"/>
        <v>657.05128205128199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85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90</v>
      </c>
      <c r="B162" s="187">
        <f>'Données projet'!D155</f>
        <v>25</v>
      </c>
      <c r="C162" s="204">
        <v>25</v>
      </c>
      <c r="D162" s="194">
        <f t="shared" si="10"/>
        <v>625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95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100</v>
      </c>
      <c r="B164" s="187">
        <f>'Données projet'!D157</f>
        <v>23.076923076923077</v>
      </c>
      <c r="C164" s="204">
        <v>30</v>
      </c>
      <c r="D164" s="194">
        <f t="shared" si="10"/>
        <v>692.30769230769226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110</v>
      </c>
      <c r="B165" s="187">
        <f>'Données projet'!D158</f>
        <v>21.794871794871796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120</v>
      </c>
      <c r="B166" s="187">
        <f>'Données projet'!D159</f>
        <v>251.28205128205127</v>
      </c>
      <c r="C166" s="204">
        <v>35</v>
      </c>
      <c r="D166" s="194">
        <f t="shared" si="10"/>
        <v>8794.8717948717949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Tilleul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15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20</v>
      </c>
      <c r="B179" s="193">
        <f>'Données projet'!D167</f>
        <v>21.794871794871796</v>
      </c>
      <c r="C179" s="206">
        <v>10</v>
      </c>
      <c r="D179" s="191">
        <f t="shared" ref="D179:D197" si="11">B179*C179</f>
        <v>217.94871794871796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25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30</v>
      </c>
      <c r="B181" s="193">
        <f>'Données projet'!D169</f>
        <v>30.128205128205128</v>
      </c>
      <c r="C181" s="206">
        <v>10</v>
      </c>
      <c r="D181" s="191">
        <f t="shared" si="11"/>
        <v>301.28205128205127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35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40</v>
      </c>
      <c r="B183" s="193">
        <f>'Données projet'!D171</f>
        <v>32.051282051282051</v>
      </c>
      <c r="C183" s="206">
        <v>15</v>
      </c>
      <c r="D183" s="191">
        <f t="shared" si="11"/>
        <v>480.76923076923077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45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50</v>
      </c>
      <c r="B185" s="193">
        <f>'Données projet'!D173</f>
        <v>30.769230769230766</v>
      </c>
      <c r="C185" s="206">
        <v>15</v>
      </c>
      <c r="D185" s="191">
        <f t="shared" si="11"/>
        <v>461.53846153846149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55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60</v>
      </c>
      <c r="B187" s="193">
        <f>'Données projet'!D175</f>
        <v>28.846153846153847</v>
      </c>
      <c r="C187" s="206">
        <v>20</v>
      </c>
      <c r="D187" s="191">
        <f t="shared" si="11"/>
        <v>576.92307692307691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65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70</v>
      </c>
      <c r="B189" s="193">
        <f>'Données projet'!D177</f>
        <v>26.282051282051281</v>
      </c>
      <c r="C189" s="206">
        <v>20</v>
      </c>
      <c r="D189" s="191">
        <f t="shared" si="11"/>
        <v>525.64102564102564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75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80</v>
      </c>
      <c r="B191" s="193">
        <f>'Données projet'!D179</f>
        <v>23.717948717948715</v>
      </c>
      <c r="C191" s="206">
        <v>25</v>
      </c>
      <c r="D191" s="191">
        <f t="shared" si="11"/>
        <v>592.9487179487179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85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90</v>
      </c>
      <c r="B193" s="193">
        <f>'Données projet'!D181</f>
        <v>23.076923076923077</v>
      </c>
      <c r="C193" s="206">
        <v>30</v>
      </c>
      <c r="D193" s="191">
        <f t="shared" si="11"/>
        <v>692.30769230769226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95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100</v>
      </c>
      <c r="B195" s="193">
        <f>'Données projet'!D183</f>
        <v>21.153846153846153</v>
      </c>
      <c r="C195" s="206">
        <v>40</v>
      </c>
      <c r="D195" s="191">
        <f t="shared" si="11"/>
        <v>846.15384615384619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105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110</v>
      </c>
      <c r="B197" s="193">
        <f>'Données projet'!D185</f>
        <v>296.15384615384613</v>
      </c>
      <c r="C197" s="206">
        <v>50</v>
      </c>
      <c r="D197" s="191">
        <f t="shared" si="11"/>
        <v>14807.692307692307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Bouleau verruqueux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10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15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20</v>
      </c>
      <c r="B211" s="193">
        <f>'Données projet'!D194</f>
        <v>40</v>
      </c>
      <c r="C211" s="206">
        <v>10</v>
      </c>
      <c r="D211" s="191">
        <f t="shared" si="12"/>
        <v>400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25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30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35</v>
      </c>
      <c r="B214" s="193">
        <f>'Données projet'!D197</f>
        <v>76</v>
      </c>
      <c r="C214" s="206">
        <v>15</v>
      </c>
      <c r="D214" s="191">
        <f t="shared" si="12"/>
        <v>1140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40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45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50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55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60</v>
      </c>
      <c r="B219" s="193">
        <f>'Données projet'!D202</f>
        <v>303</v>
      </c>
      <c r="C219" s="206">
        <v>20</v>
      </c>
      <c r="D219" s="191">
        <f t="shared" si="12"/>
        <v>6060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Camille STOUFF</cp:lastModifiedBy>
  <dcterms:created xsi:type="dcterms:W3CDTF">2021-02-01T08:22:39Z</dcterms:created>
  <dcterms:modified xsi:type="dcterms:W3CDTF">2022-01-24T19:10:47Z</dcterms:modified>
</cp:coreProperties>
</file>