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ENGIE\86 - Fleuré\CNPF C+for n°66 Fleuré (ENGIE Solutions n°4)\"/>
    </mc:Choice>
  </mc:AlternateContent>
  <bookViews>
    <workbookView xWindow="0" yWindow="0" windowWidth="23040" windowHeight="7368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1" l="1"/>
  <c r="D133" i="1" l="1"/>
  <c r="D81" i="1" l="1"/>
  <c r="B79" i="1"/>
  <c r="B77" i="1"/>
  <c r="B75" i="1"/>
  <c r="B73" i="1"/>
  <c r="B71" i="1"/>
  <c r="D69" i="1"/>
  <c r="B69" i="1"/>
  <c r="D67" i="1"/>
  <c r="B67" i="1"/>
  <c r="D65" i="1"/>
  <c r="B65" i="1"/>
  <c r="B63" i="1"/>
  <c r="D63" i="1"/>
  <c r="D5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HI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HG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FS57" i="2"/>
  <c r="HH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A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FS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G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HH163" i="2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HH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EA167" i="2"/>
  <c r="HH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HH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EB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A201" i="2"/>
  <c r="HH201" i="2"/>
  <c r="HG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126" i="2" a="1"/>
  <c r="BC126" i="2" s="1"/>
  <c r="BC114" i="2" a="1"/>
  <c r="BC114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HG203" i="2" l="1"/>
  <c r="BX107" i="2" a="1"/>
  <c r="BX107" i="2" s="1"/>
  <c r="BC65" i="2" a="1"/>
  <c r="BC65" i="2" s="1"/>
  <c r="BC82" i="2" a="1"/>
  <c r="BC82" i="2" s="1"/>
  <c r="BC47" i="2" a="1"/>
  <c r="BC47" i="2" s="1"/>
  <c r="BC68" i="2" a="1"/>
  <c r="BC68" i="2" s="1"/>
  <c r="BC117" i="2" a="1"/>
  <c r="BC117" i="2" s="1"/>
  <c r="BC58" i="2" a="1"/>
  <c r="BC58" i="2" s="1"/>
  <c r="AH166" i="2" a="1"/>
  <c r="AH166" i="2" s="1"/>
  <c r="AH90" i="2" a="1"/>
  <c r="AH90" i="2" s="1"/>
  <c r="AH62" i="2" a="1"/>
  <c r="AH62" i="2" s="1"/>
  <c r="AH163" i="2" a="1"/>
  <c r="AH163" i="2" s="1"/>
  <c r="AH19" i="2" a="1"/>
  <c r="AH19" i="2" s="1"/>
  <c r="AH151" i="2" a="1"/>
  <c r="AH151" i="2" s="1"/>
  <c r="AH92" i="2" a="1"/>
  <c r="AH92" i="2" s="1"/>
  <c r="AH199" i="2" a="1"/>
  <c r="AH199" i="2" s="1"/>
  <c r="CS137" i="2" a="1"/>
  <c r="CS137" i="2" s="1"/>
  <c r="CS52" i="2" a="1"/>
  <c r="CS52" i="2" s="1"/>
  <c r="CS129" i="2" a="1"/>
  <c r="CS129" i="2" s="1"/>
  <c r="CS114" i="2" a="1"/>
  <c r="CS114" i="2" s="1"/>
  <c r="CS116" i="2" a="1"/>
  <c r="CS116" i="2" s="1"/>
  <c r="CS66" i="2" a="1"/>
  <c r="CS66" i="2" s="1"/>
  <c r="CS38" i="2" a="1"/>
  <c r="CS38" i="2" s="1"/>
  <c r="CS105" i="2" a="1"/>
  <c r="CS105" i="2" s="1"/>
  <c r="CS77" i="2" a="1"/>
  <c r="CS77" i="2" s="1"/>
  <c r="CS134" i="2" a="1"/>
  <c r="CS134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DI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59" i="2" l="1"/>
  <c r="CY144" i="2"/>
  <c r="CY24" i="2"/>
  <c r="CY167" i="2"/>
  <c r="CY51" i="2"/>
  <c r="CY47" i="2"/>
  <c r="CY31" i="2"/>
  <c r="CY14" i="2"/>
  <c r="CY12" i="2"/>
  <c r="CY161" i="2"/>
  <c r="CY46" i="2"/>
  <c r="CY194" i="2"/>
  <c r="CY36" i="2"/>
  <c r="CY164" i="2"/>
  <c r="CY85" i="2"/>
  <c r="CY134" i="2"/>
  <c r="CY33" i="2"/>
  <c r="CY120" i="2"/>
  <c r="CY68" i="2"/>
  <c r="CY55" i="2"/>
  <c r="CY182" i="2"/>
  <c r="CY44" i="2"/>
  <c r="CY192" i="2"/>
  <c r="CY80" i="2"/>
  <c r="CY198" i="2"/>
  <c r="CY87" i="2"/>
  <c r="CY149" i="2"/>
  <c r="CY156" i="2"/>
  <c r="CY96" i="2"/>
  <c r="CY95" i="2"/>
  <c r="CY122" i="2"/>
  <c r="CY65" i="2"/>
  <c r="CY83" i="2"/>
  <c r="CY195" i="2"/>
  <c r="CY125" i="2"/>
  <c r="CY170" i="2"/>
  <c r="CY82" i="2"/>
  <c r="CY8" i="2"/>
  <c r="CY102" i="2"/>
  <c r="CY137" i="2"/>
  <c r="CY110" i="2"/>
  <c r="CY169" i="2"/>
  <c r="CY10" i="2"/>
  <c r="CY106" i="2"/>
  <c r="CY7" i="2"/>
  <c r="CY56" i="2"/>
  <c r="CY107" i="2"/>
  <c r="CY101" i="2"/>
  <c r="CY58" i="2"/>
  <c r="CY67" i="2"/>
  <c r="CY111" i="2"/>
  <c r="CY42" i="2"/>
  <c r="CY191" i="2"/>
  <c r="CY132" i="2"/>
  <c r="CY197" i="2"/>
  <c r="CY98" i="2"/>
  <c r="CY61" i="2"/>
  <c r="CY23" i="2"/>
  <c r="CY157" i="2"/>
  <c r="CY127" i="2"/>
  <c r="CY203" i="2"/>
  <c r="CY52" i="2"/>
  <c r="CY50" i="2"/>
  <c r="CY190" i="2"/>
  <c r="CY148" i="2"/>
  <c r="CY81" i="2"/>
  <c r="CY99" i="2"/>
  <c r="CY63" i="2"/>
  <c r="CY116" i="2"/>
  <c r="CY29" i="2"/>
  <c r="CY88" i="2"/>
  <c r="CY138" i="2"/>
  <c r="CY72" i="2"/>
  <c r="CY112" i="2"/>
  <c r="CY199" i="2"/>
  <c r="CY123" i="2"/>
  <c r="CY62" i="2"/>
  <c r="CY89" i="2"/>
  <c r="CY21" i="2"/>
  <c r="CY183" i="2"/>
  <c r="CY70" i="2"/>
  <c r="CY174" i="2"/>
  <c r="CY124" i="2"/>
  <c r="CY193" i="2"/>
  <c r="CY91" i="2"/>
  <c r="CY18" i="2"/>
  <c r="CY45" i="2"/>
  <c r="CY158" i="2"/>
  <c r="CY150" i="2"/>
  <c r="CY16" i="2"/>
  <c r="CY201" i="2"/>
  <c r="CY145" i="2"/>
  <c r="CY141" i="2"/>
  <c r="CY166" i="2"/>
  <c r="CY142" i="2"/>
  <c r="CY146" i="2"/>
  <c r="CY129" i="2"/>
  <c r="CY143" i="2"/>
  <c r="CY119" i="2"/>
  <c r="CY32" i="2"/>
  <c r="CY187" i="2"/>
  <c r="CY131" i="2"/>
  <c r="CY181" i="2"/>
  <c r="CY15" i="2"/>
  <c r="CY163" i="2"/>
  <c r="CY159" i="2"/>
  <c r="CY189" i="2"/>
  <c r="CY109" i="2"/>
  <c r="CY94" i="2"/>
  <c r="CY49" i="2"/>
  <c r="CY173" i="2"/>
  <c r="CY113" i="2"/>
  <c r="CY179" i="2"/>
  <c r="CY171" i="2"/>
  <c r="CY9" i="2"/>
  <c r="CY140" i="2"/>
  <c r="CY126" i="2"/>
  <c r="CY175" i="2"/>
  <c r="CY180" i="2"/>
  <c r="CY64" i="2"/>
  <c r="CY152" i="2"/>
  <c r="CY133" i="2"/>
  <c r="CY153" i="2"/>
  <c r="CY54" i="2"/>
  <c r="CY105" i="2"/>
  <c r="CY160" i="2"/>
  <c r="CY130" i="2"/>
  <c r="CY38" i="2"/>
  <c r="CY178" i="2"/>
  <c r="CY177" i="2"/>
  <c r="CY117" i="2"/>
  <c r="CY186" i="2"/>
  <c r="CY66" i="2"/>
  <c r="CY78" i="2"/>
  <c r="CY39" i="2"/>
  <c r="CY84" i="2"/>
  <c r="CY135" i="2"/>
  <c r="CY6" i="2"/>
  <c r="CY115" i="2"/>
  <c r="CY151" i="2"/>
  <c r="CY136" i="2"/>
  <c r="CY108" i="2"/>
  <c r="CY25" i="2"/>
  <c r="CY165" i="2"/>
  <c r="CY93" i="2"/>
  <c r="CY100" i="2"/>
  <c r="CY155" i="2"/>
  <c r="CY4" i="2"/>
  <c r="CY41" i="2"/>
  <c r="CY154" i="2"/>
  <c r="CY176" i="2"/>
  <c r="CY30" i="2"/>
  <c r="CY103" i="2"/>
  <c r="CY19" i="2"/>
  <c r="CY60" i="2"/>
  <c r="CY92" i="2"/>
  <c r="CY26" i="2"/>
  <c r="CY57" i="2"/>
  <c r="CY139" i="2"/>
  <c r="CY71" i="2"/>
  <c r="CY188" i="2"/>
  <c r="CY184" i="2"/>
  <c r="CY53" i="2"/>
  <c r="CY73" i="2"/>
  <c r="CY11" i="2"/>
  <c r="CY20" i="2"/>
  <c r="CY114" i="2"/>
  <c r="CY22" i="2"/>
  <c r="CY79" i="2"/>
  <c r="CY104" i="2"/>
  <c r="CY77" i="2"/>
  <c r="CY48" i="2"/>
  <c r="CY74" i="2"/>
  <c r="CY34" i="2"/>
  <c r="CY97" i="2"/>
  <c r="CY37" i="2"/>
  <c r="CY13" i="2"/>
  <c r="CY168" i="2"/>
  <c r="CY86" i="2"/>
  <c r="CY147" i="2"/>
  <c r="CY27" i="2"/>
  <c r="CY35" i="2"/>
  <c r="CY202" i="2"/>
  <c r="CY128" i="2"/>
  <c r="CY3" i="2"/>
  <c r="C10" i="4" s="1"/>
  <c r="E10" i="4" s="1"/>
  <c r="F10" i="4" s="1"/>
  <c r="G10" i="4" s="1"/>
  <c r="L10" i="4" s="1"/>
  <c r="CY28" i="2"/>
  <c r="CY69" i="2"/>
  <c r="CY200" i="2"/>
  <c r="CY172" i="2"/>
  <c r="CY118" i="2"/>
  <c r="CY162" i="2"/>
  <c r="CY17" i="2"/>
  <c r="CY185" i="2"/>
  <c r="CY40" i="2"/>
  <c r="CY196" i="2"/>
  <c r="CY43" i="2"/>
  <c r="CY75" i="2"/>
  <c r="CY76" i="2"/>
  <c r="CY90" i="2"/>
  <c r="CY121" i="2"/>
  <c r="CY5" i="2"/>
  <c r="CD60" i="2"/>
  <c r="CD38" i="2"/>
  <c r="CD44" i="2"/>
  <c r="CD74" i="2"/>
  <c r="CD196" i="2"/>
  <c r="CD202" i="2"/>
  <c r="CD12" i="2"/>
  <c r="CD17" i="2"/>
  <c r="CD154" i="2"/>
  <c r="CD120" i="2"/>
  <c r="CD106" i="2"/>
  <c r="CD58" i="2"/>
  <c r="CD203" i="2"/>
  <c r="CD75" i="2"/>
  <c r="CD94" i="2"/>
  <c r="CD151" i="2"/>
  <c r="CD192" i="2"/>
  <c r="CD18" i="2"/>
  <c r="CD127" i="2"/>
  <c r="CD179" i="2"/>
  <c r="CD49" i="2"/>
  <c r="CD195" i="2"/>
  <c r="CD112" i="2"/>
  <c r="CD104" i="2"/>
  <c r="CD118" i="2"/>
  <c r="CD86" i="2"/>
  <c r="CD185" i="2"/>
  <c r="CD97" i="2"/>
  <c r="CD77" i="2"/>
  <c r="CD128" i="2"/>
  <c r="CD183" i="2"/>
  <c r="CD193" i="2"/>
  <c r="CD63" i="2"/>
  <c r="CD105" i="2"/>
  <c r="CD178" i="2"/>
  <c r="CD161" i="2"/>
  <c r="CD166" i="2"/>
  <c r="CD132" i="2"/>
  <c r="CD187" i="2"/>
  <c r="CD16" i="2"/>
  <c r="CD133" i="2"/>
  <c r="CD23" i="2"/>
  <c r="CD79" i="2"/>
  <c r="CD142" i="2"/>
  <c r="CD36" i="2"/>
  <c r="CD40" i="2"/>
  <c r="CD130" i="2"/>
  <c r="CD52" i="2"/>
  <c r="CD82" i="2"/>
  <c r="CD140" i="2"/>
  <c r="CD14" i="2"/>
  <c r="CD114" i="2"/>
  <c r="CD124" i="2"/>
  <c r="CD10" i="2"/>
  <c r="CD152" i="2"/>
  <c r="CD85" i="2"/>
  <c r="CD43" i="2"/>
  <c r="CD54" i="2"/>
  <c r="CD83" i="2"/>
  <c r="CD57" i="2"/>
  <c r="CD122" i="2"/>
  <c r="CD184" i="2"/>
  <c r="CD72" i="2"/>
  <c r="CD167" i="2"/>
  <c r="CD31" i="2"/>
  <c r="CD67" i="2"/>
  <c r="CD121" i="2"/>
  <c r="CD172" i="2"/>
  <c r="CD116" i="2"/>
  <c r="CD27" i="2"/>
  <c r="CD15" i="2"/>
  <c r="CD3" i="2"/>
  <c r="C9" i="4" s="1"/>
  <c r="E9" i="4" s="1"/>
  <c r="F9" i="4" s="1"/>
  <c r="G9" i="4" s="1"/>
  <c r="L9" i="4" s="1"/>
  <c r="CD162" i="2"/>
  <c r="CD19" i="2"/>
  <c r="CD90" i="2"/>
  <c r="CD173" i="2"/>
  <c r="CD5" i="2"/>
  <c r="CD87" i="2"/>
  <c r="CD190" i="2"/>
  <c r="CD33" i="2"/>
  <c r="CD119" i="2"/>
  <c r="CD141" i="2"/>
  <c r="CD47" i="2"/>
  <c r="CD80" i="2"/>
  <c r="CD188" i="2"/>
  <c r="CD156" i="2"/>
  <c r="CD13" i="2"/>
  <c r="CD143" i="2"/>
  <c r="CD111" i="2"/>
  <c r="CD46" i="2"/>
  <c r="CD41" i="2"/>
  <c r="CD9" i="2"/>
  <c r="CD199" i="2"/>
  <c r="CD92" i="2"/>
  <c r="CD191" i="2"/>
  <c r="CD98" i="2"/>
  <c r="CD115" i="2"/>
  <c r="CD42" i="2"/>
  <c r="CD102" i="2"/>
  <c r="CD158" i="2"/>
  <c r="CD100" i="2"/>
  <c r="CD145" i="2"/>
  <c r="CD39" i="2"/>
  <c r="CD76" i="2"/>
  <c r="CD56" i="2"/>
  <c r="CD135" i="2"/>
  <c r="CD131" i="2"/>
  <c r="CD65" i="2"/>
  <c r="CD32" i="2"/>
  <c r="CD194" i="2"/>
  <c r="CD29" i="2"/>
  <c r="CD95" i="2"/>
  <c r="CD174" i="2"/>
  <c r="CD149" i="2"/>
  <c r="CD123" i="2"/>
  <c r="CD168" i="2"/>
  <c r="CD11" i="2"/>
  <c r="CD175" i="2"/>
  <c r="CD30" i="2"/>
  <c r="CD59" i="2"/>
  <c r="CD69" i="2"/>
  <c r="CD89" i="2"/>
  <c r="CD164" i="2"/>
  <c r="CD170" i="2"/>
  <c r="CD96" i="2"/>
  <c r="CD51" i="2"/>
  <c r="CD144" i="2"/>
  <c r="CD99" i="2"/>
  <c r="CD28" i="2"/>
  <c r="CD91" i="2"/>
  <c r="CD61" i="2"/>
  <c r="CD4" i="2"/>
  <c r="CD108" i="2"/>
  <c r="CD148" i="2"/>
  <c r="CD159" i="2"/>
  <c r="CD150" i="2"/>
  <c r="CD55" i="2"/>
  <c r="CD160" i="2"/>
  <c r="CD22" i="2"/>
  <c r="CD8" i="2"/>
  <c r="CD35" i="2"/>
  <c r="CD165" i="2"/>
  <c r="CD24" i="2"/>
  <c r="CD109" i="2"/>
  <c r="CD163" i="2"/>
  <c r="CD71" i="2"/>
  <c r="CD177" i="2"/>
  <c r="CD62" i="2"/>
  <c r="CD107" i="2"/>
  <c r="CD181" i="2"/>
  <c r="CD134" i="2"/>
  <c r="CD50" i="2"/>
  <c r="CD70" i="2"/>
  <c r="CD138" i="2"/>
  <c r="CD26" i="2"/>
  <c r="CD201" i="2"/>
  <c r="CD146" i="2"/>
  <c r="CD48" i="2"/>
  <c r="CD157" i="2"/>
  <c r="CD129" i="2"/>
  <c r="CD155" i="2"/>
  <c r="CD84" i="2"/>
  <c r="CD7" i="2"/>
  <c r="CD113" i="2"/>
  <c r="CD73" i="2"/>
  <c r="CD117" i="2"/>
  <c r="CD93" i="2"/>
  <c r="CD20" i="2"/>
  <c r="CD88" i="2"/>
  <c r="CD137" i="2"/>
  <c r="CD78" i="2"/>
  <c r="CD81" i="2"/>
  <c r="CD126" i="2"/>
  <c r="CD53" i="2"/>
  <c r="CD45" i="2"/>
  <c r="CD136" i="2"/>
  <c r="CD101" i="2"/>
  <c r="CD110" i="2"/>
  <c r="CD21" i="2"/>
  <c r="CD180" i="2"/>
  <c r="CD176" i="2"/>
  <c r="CD171" i="2"/>
  <c r="CD147" i="2"/>
  <c r="CD198" i="2"/>
  <c r="CD189" i="2"/>
  <c r="CD64" i="2"/>
  <c r="CD103" i="2"/>
  <c r="CD197" i="2"/>
  <c r="CD25" i="2"/>
  <c r="CD169" i="2"/>
  <c r="CD139" i="2"/>
  <c r="CD34" i="2"/>
  <c r="CD6" i="2"/>
  <c r="CD182" i="2"/>
  <c r="CD37" i="2"/>
  <c r="CD125" i="2"/>
  <c r="CD66" i="2"/>
  <c r="CD153" i="2"/>
  <c r="CD186" i="2"/>
  <c r="CD200" i="2"/>
  <c r="CD6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<sst xmlns="http://schemas.openxmlformats.org/spreadsheetml/2006/main" count="1174" uniqueCount="324">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</sst>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4750368"/>
        <c:axId val="2114750912"/>
      </c:scatterChart>
      <c:valAx>
        <c:axId val="2114750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4750912"/>
        <c:crosses val="autoZero"/>
        <c:crossBetween val="midCat"/>
      </c:valAx>
      <c:valAx>
        <c:axId val="211475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4750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926544"/>
        <c:axId val="313928720"/>
      </c:scatterChart>
      <c:valAx>
        <c:axId val="313926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3928720"/>
        <c:crosses val="autoZero"/>
        <c:crossBetween val="midCat"/>
      </c:valAx>
      <c:valAx>
        <c:axId val="31392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3926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43.749933231556859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102.6333920187227</c:v>
                </c:pt>
                <c:pt idx="22">
                  <c:v>114.73918821483265</c:v>
                </c:pt>
                <c:pt idx="23">
                  <c:v>126.81371572083374</c:v>
                </c:pt>
                <c:pt idx="24">
                  <c:v>138.86037516438498</c:v>
                </c:pt>
                <c:pt idx="25">
                  <c:v>150.88192750819908</c:v>
                </c:pt>
                <c:pt idx="26">
                  <c:v>130.55517654420012</c:v>
                </c:pt>
                <c:pt idx="27">
                  <c:v>143.4230971323318</c:v>
                </c:pt>
                <c:pt idx="28">
                  <c:v>156.26336860764874</c:v>
                </c:pt>
                <c:pt idx="29">
                  <c:v>169.07858491356987</c:v>
                </c:pt>
                <c:pt idx="30">
                  <c:v>181.87091401836071</c:v>
                </c:pt>
                <c:pt idx="31">
                  <c:v>194.64219358196658</c:v>
                </c:pt>
                <c:pt idx="32">
                  <c:v>207.39400013243321</c:v>
                </c:pt>
                <c:pt idx="33">
                  <c:v>220.12770029979734</c:v>
                </c:pt>
                <c:pt idx="34">
                  <c:v>232.84448955193758</c:v>
                </c:pt>
                <c:pt idx="35">
                  <c:v>245.54542201156013</c:v>
                </c:pt>
                <c:pt idx="36">
                  <c:v>211.09269018116927</c:v>
                </c:pt>
                <c:pt idx="37">
                  <c:v>223.82136433692654</c:v>
                </c:pt>
                <c:pt idx="38">
                  <c:v>236.53344703477251</c:v>
                </c:pt>
                <c:pt idx="39">
                  <c:v>249.22995596953157</c:v>
                </c:pt>
                <c:pt idx="40">
                  <c:v>261.9117966123722</c:v>
                </c:pt>
                <c:pt idx="41">
                  <c:v>274.5797795374819</c:v>
                </c:pt>
                <c:pt idx="42">
                  <c:v>287.23463438081922</c:v>
                </c:pt>
                <c:pt idx="43">
                  <c:v>299.87702120818574</c:v>
                </c:pt>
                <c:pt idx="44">
                  <c:v>312.50753986462513</c:v>
                </c:pt>
                <c:pt idx="45">
                  <c:v>325.1267377323847</c:v>
                </c:pt>
                <c:pt idx="46">
                  <c:v>282.33749471067301</c:v>
                </c:pt>
                <c:pt idx="47">
                  <c:v>294.5768533264087</c:v>
                </c:pt>
                <c:pt idx="48">
                  <c:v>306.80486817387464</c:v>
                </c:pt>
                <c:pt idx="49">
                  <c:v>319.02205522459639</c:v>
                </c:pt>
                <c:pt idx="50">
                  <c:v>331.22888769054117</c:v>
                </c:pt>
                <c:pt idx="51">
                  <c:v>342.61297385709213</c:v>
                </c:pt>
                <c:pt idx="52">
                  <c:v>353.98874734606505</c:v>
                </c:pt>
                <c:pt idx="53">
                  <c:v>365.35651302909173</c:v>
                </c:pt>
                <c:pt idx="54">
                  <c:v>376.71655525191045</c:v>
                </c:pt>
                <c:pt idx="55">
                  <c:v>388.06913980682003</c:v>
                </c:pt>
                <c:pt idx="56">
                  <c:v>342.20654436882069</c:v>
                </c:pt>
                <c:pt idx="57">
                  <c:v>353.17646115054987</c:v>
                </c:pt>
                <c:pt idx="58">
                  <c:v>364.13891241802389</c:v>
                </c:pt>
                <c:pt idx="59">
                  <c:v>375.0941546786521</c:v>
                </c:pt>
                <c:pt idx="60">
                  <c:v>386.04242822867758</c:v>
                </c:pt>
                <c:pt idx="61">
                  <c:v>396.17370138775277</c:v>
                </c:pt>
                <c:pt idx="62">
                  <c:v>406.29936224395647</c:v>
                </c:pt>
                <c:pt idx="63">
                  <c:v>416.41957043134607</c:v>
                </c:pt>
                <c:pt idx="64">
                  <c:v>426.53447718930823</c:v>
                </c:pt>
                <c:pt idx="65">
                  <c:v>436.64422599689237</c:v>
                </c:pt>
                <c:pt idx="66">
                  <c:v>390.09562155502158</c:v>
                </c:pt>
                <c:pt idx="67">
                  <c:v>400.22463007117284</c:v>
                </c:pt>
                <c:pt idx="68">
                  <c:v>410.34809118885124</c:v>
                </c:pt>
                <c:pt idx="69">
                  <c:v>420.46616110382996</c:v>
                </c:pt>
                <c:pt idx="70">
                  <c:v>430.57898787887979</c:v>
                </c:pt>
                <c:pt idx="71">
                  <c:v>440.28249935825102</c:v>
                </c:pt>
                <c:pt idx="72">
                  <c:v>449.98142660551815</c:v>
                </c:pt>
                <c:pt idx="73">
                  <c:v>459.67588238780218</c:v>
                </c:pt>
                <c:pt idx="74">
                  <c:v>469.36597432654645</c:v>
                </c:pt>
                <c:pt idx="75">
                  <c:v>479.05180523598898</c:v>
                </c:pt>
                <c:pt idx="76">
                  <c:v>431.38779177607307</c:v>
                </c:pt>
                <c:pt idx="77">
                  <c:v>440.28249935825107</c:v>
                </c:pt>
                <c:pt idx="78">
                  <c:v>449.17335497371772</c:v>
                </c:pt>
                <c:pt idx="79">
                  <c:v>458.06044564731354</c:v>
                </c:pt>
                <c:pt idx="80">
                  <c:v>466.94385475039059</c:v>
                </c:pt>
                <c:pt idx="81">
                  <c:v>476.22720551346401</c:v>
                </c:pt>
                <c:pt idx="82">
                  <c:v>485.50670733159899</c:v>
                </c:pt>
                <c:pt idx="83">
                  <c:v>494.7824441592341</c:v>
                </c:pt>
                <c:pt idx="84">
                  <c:v>504.05449654558885</c:v>
                </c:pt>
                <c:pt idx="85">
                  <c:v>513.32294183422596</c:v>
                </c:pt>
                <c:pt idx="86">
                  <c:v>466.94385475039053</c:v>
                </c:pt>
                <c:pt idx="87">
                  <c:v>475.01655378575691</c:v>
                </c:pt>
                <c:pt idx="88">
                  <c:v>483.08633404340497</c:v>
                </c:pt>
                <c:pt idx="89">
                  <c:v>491.15325117467381</c:v>
                </c:pt>
                <c:pt idx="90">
                  <c:v>499.2173588530552</c:v>
                </c:pt>
                <c:pt idx="91">
                  <c:v>507.27870887599437</c:v>
                </c:pt>
                <c:pt idx="92">
                  <c:v>515.33735125988142</c:v>
                </c:pt>
                <c:pt idx="93">
                  <c:v>523.39333432879255</c:v>
                </c:pt>
                <c:pt idx="94">
                  <c:v>531.44670479748004</c:v>
                </c:pt>
                <c:pt idx="95">
                  <c:v>539.49750784907303</c:v>
                </c:pt>
                <c:pt idx="96">
                  <c:v>494.78244415923405</c:v>
                </c:pt>
                <c:pt idx="97">
                  <c:v>502.44222694105264</c:v>
                </c:pt>
                <c:pt idx="98">
                  <c:v>510.09953919582313</c:v>
                </c:pt>
                <c:pt idx="99">
                  <c:v>517.75442325269717</c:v>
                </c:pt>
                <c:pt idx="100">
                  <c:v>525.40692008667077</c:v>
                </c:pt>
                <c:pt idx="101">
                  <c:v>533.05706938142691</c:v>
                </c:pt>
                <c:pt idx="102">
                  <c:v>540.70490958838275</c:v>
                </c:pt>
                <c:pt idx="103">
                  <c:v>548.35047798222126</c:v>
                </c:pt>
                <c:pt idx="104">
                  <c:v>555.99381071316338</c:v>
                </c:pt>
                <c:pt idx="105">
                  <c:v>563.634942856218</c:v>
                </c:pt>
                <c:pt idx="106">
                  <c:v>520.17125719416094</c:v>
                </c:pt>
                <c:pt idx="107">
                  <c:v>527.01767161181442</c:v>
                </c:pt>
                <c:pt idx="108">
                  <c:v>533.86221327471185</c:v>
                </c:pt>
                <c:pt idx="109">
                  <c:v>540.70490958838275</c:v>
                </c:pt>
                <c:pt idx="110">
                  <c:v>547.54578720789493</c:v>
                </c:pt>
                <c:pt idx="111">
                  <c:v>554.38487206772743</c:v>
                </c:pt>
                <c:pt idx="112">
                  <c:v>561.22218941009533</c:v>
                </c:pt>
                <c:pt idx="113">
                  <c:v>568.05776381182022</c:v>
                </c:pt>
                <c:pt idx="114">
                  <c:v>574.89161920984145</c:v>
                </c:pt>
                <c:pt idx="115">
                  <c:v>581.72377892545001</c:v>
                </c:pt>
                <c:pt idx="116">
                  <c:v>588.55426568732571</c:v>
                </c:pt>
                <c:pt idx="117">
                  <c:v>595.38310165344672</c:v>
                </c:pt>
                <c:pt idx="118">
                  <c:v>602.21030843194603</c:v>
                </c:pt>
                <c:pt idx="119">
                  <c:v>609.03590710096762</c:v>
                </c:pt>
                <c:pt idx="120">
                  <c:v>615.8599182275907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4751456"/>
        <c:axId val="2106274672"/>
      </c:scatterChart>
      <c:valAx>
        <c:axId val="2114751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4672"/>
        <c:crosses val="autoZero"/>
        <c:crossBetween val="midCat"/>
      </c:valAx>
      <c:valAx>
        <c:axId val="210627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4751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2.1180139732612671</c:v>
                </c:pt>
                <c:pt idx="2">
                  <c:v>2.8930352277757714</c:v>
                </c:pt>
                <c:pt idx="3">
                  <c:v>3.9528563294914054</c:v>
                </c:pt>
                <c:pt idx="4">
                  <c:v>5.4025506025518295</c:v>
                </c:pt>
                <c:pt idx="5">
                  <c:v>7.3861004857514656</c:v>
                </c:pt>
                <c:pt idx="6">
                  <c:v>10.100855037538478</c:v>
                </c:pt>
                <c:pt idx="7">
                  <c:v>13.817376284253774</c:v>
                </c:pt>
                <c:pt idx="8">
                  <c:v>18.906688773103248</c:v>
                </c:pt>
                <c:pt idx="9">
                  <c:v>25.877701614343255</c:v>
                </c:pt>
                <c:pt idx="10">
                  <c:v>35.428610803418827</c:v>
                </c:pt>
                <c:pt idx="11">
                  <c:v>48.517518453192395</c:v>
                </c:pt>
                <c:pt idx="12">
                  <c:v>66.459471748081853</c:v>
                </c:pt>
                <c:pt idx="13">
                  <c:v>89.518491602178926</c:v>
                </c:pt>
                <c:pt idx="14">
                  <c:v>115.34507792286411</c:v>
                </c:pt>
                <c:pt idx="15">
                  <c:v>107.7353130524844</c:v>
                </c:pt>
                <c:pt idx="16">
                  <c:v>121.79757291627975</c:v>
                </c:pt>
                <c:pt idx="17">
                  <c:v>137.94887635398439</c:v>
                </c:pt>
                <c:pt idx="18">
                  <c:v>155.82325453701938</c:v>
                </c:pt>
                <c:pt idx="19">
                  <c:v>178.71809195658315</c:v>
                </c:pt>
                <c:pt idx="20">
                  <c:v>156.01113549659763</c:v>
                </c:pt>
                <c:pt idx="21">
                  <c:v>179.46716142681086</c:v>
                </c:pt>
                <c:pt idx="22">
                  <c:v>203.97157947599115</c:v>
                </c:pt>
                <c:pt idx="23">
                  <c:v>229.34983593044987</c:v>
                </c:pt>
                <c:pt idx="24">
                  <c:v>256.16070947885601</c:v>
                </c:pt>
                <c:pt idx="25">
                  <c:v>283.4422200558077</c:v>
                </c:pt>
                <c:pt idx="26">
                  <c:v>235.98505858386409</c:v>
                </c:pt>
                <c:pt idx="27">
                  <c:v>258.05062536478636</c:v>
                </c:pt>
                <c:pt idx="28">
                  <c:v>280.5423775629647</c:v>
                </c:pt>
                <c:pt idx="29">
                  <c:v>303.43995205127447</c:v>
                </c:pt>
                <c:pt idx="30">
                  <c:v>326.35342702648575</c:v>
                </c:pt>
                <c:pt idx="31">
                  <c:v>338.24636452039493</c:v>
                </c:pt>
                <c:pt idx="32">
                  <c:v>350.13010089837275</c:v>
                </c:pt>
                <c:pt idx="33">
                  <c:v>362.00499254795028</c:v>
                </c:pt>
                <c:pt idx="34">
                  <c:v>373.87137056094826</c:v>
                </c:pt>
                <c:pt idx="35">
                  <c:v>385.72954329189952</c:v>
                </c:pt>
                <c:pt idx="36">
                  <c:v>397.57979858537283</c:v>
                </c:pt>
                <c:pt idx="37">
                  <c:v>409.42240572383986</c:v>
                </c:pt>
                <c:pt idx="38">
                  <c:v>421.25761713838227</c:v>
                </c:pt>
                <c:pt idx="39">
                  <c:v>433.08566991710376</c:v>
                </c:pt>
                <c:pt idx="40">
                  <c:v>444.90678714015058</c:v>
                </c:pt>
                <c:pt idx="41">
                  <c:v>456.72117906544736</c:v>
                </c:pt>
                <c:pt idx="42">
                  <c:v>468.52904418534712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276848"/>
        <c:axId val="2106275216"/>
      </c:scatterChart>
      <c:valAx>
        <c:axId val="2106276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5216"/>
        <c:crosses val="autoZero"/>
        <c:crossBetween val="midCat"/>
      </c:valAx>
      <c:valAx>
        <c:axId val="210627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6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234.34307827690762</c:v>
                </c:pt>
                <c:pt idx="42">
                  <c:v>247.31737533025003</c:v>
                </c:pt>
                <c:pt idx="43">
                  <c:v>260.27622505120576</c:v>
                </c:pt>
                <c:pt idx="44">
                  <c:v>273.220505160855</c:v>
                </c:pt>
                <c:pt idx="45">
                  <c:v>286.15100338127621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299.06843040054582</c:v>
                </c:pt>
                <c:pt idx="52">
                  <c:v>311.97343047900409</c:v>
                </c:pt>
                <c:pt idx="53">
                  <c:v>324.86659020772595</c:v>
                </c:pt>
                <c:pt idx="54">
                  <c:v>337.74844580317352</c:v>
                </c:pt>
                <c:pt idx="55">
                  <c:v>350.61948923031781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360.725163121957</c:v>
                </c:pt>
                <c:pt idx="62">
                  <c:v>373.11914099479742</c:v>
                </c:pt>
                <c:pt idx="63">
                  <c:v>385.5041479951206</c:v>
                </c:pt>
                <c:pt idx="64">
                  <c:v>397.88051297693852</c:v>
                </c:pt>
                <c:pt idx="65">
                  <c:v>410.24854266397227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414.82723721388487</c:v>
                </c:pt>
                <c:pt idx="72">
                  <c:v>426.26923464137008</c:v>
                </c:pt>
                <c:pt idx="73">
                  <c:v>437.70462758915511</c:v>
                </c:pt>
                <c:pt idx="74">
                  <c:v>449.13361294375403</c:v>
                </c:pt>
                <c:pt idx="75">
                  <c:v>460.55637675309475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459.18596767967614</c:v>
                </c:pt>
                <c:pt idx="82">
                  <c:v>469.23362495798051</c:v>
                </c:pt>
                <c:pt idx="83">
                  <c:v>479.27669956446061</c:v>
                </c:pt>
                <c:pt idx="84">
                  <c:v>489.31530108112526</c:v>
                </c:pt>
                <c:pt idx="85">
                  <c:v>499.34953422631753</c:v>
                </c:pt>
                <c:pt idx="86">
                  <c:v>444.56277557365314</c:v>
                </c:pt>
                <c:pt idx="87">
                  <c:v>453.70345497828936</c:v>
                </c:pt>
                <c:pt idx="88">
                  <c:v>462.84019859006759</c:v>
                </c:pt>
                <c:pt idx="89">
                  <c:v>471.97309508291988</c:v>
                </c:pt>
                <c:pt idx="90">
                  <c:v>481.1022294181027</c:v>
                </c:pt>
                <c:pt idx="91">
                  <c:v>490.22768306866254</c:v>
                </c:pt>
                <c:pt idx="92">
                  <c:v>499.34953422631753</c:v>
                </c:pt>
                <c:pt idx="93">
                  <c:v>508.46785799243213</c:v>
                </c:pt>
                <c:pt idx="94">
                  <c:v>517.58272655458029</c:v>
                </c:pt>
                <c:pt idx="95">
                  <c:v>526.69420935002245</c:v>
                </c:pt>
                <c:pt idx="96">
                  <c:v>470.60340248231086</c:v>
                </c:pt>
                <c:pt idx="97">
                  <c:v>478.36387923123061</c:v>
                </c:pt>
                <c:pt idx="98">
                  <c:v>486.12167933752761</c:v>
                </c:pt>
                <c:pt idx="99">
                  <c:v>493.87685155793525</c:v>
                </c:pt>
                <c:pt idx="100">
                  <c:v>501.62944299248096</c:v>
                </c:pt>
                <c:pt idx="101">
                  <c:v>509.37949916607204</c:v>
                </c:pt>
                <c:pt idx="102">
                  <c:v>517.12706410485578</c:v>
                </c:pt>
                <c:pt idx="103">
                  <c:v>524.87218040776497</c:v>
                </c:pt>
                <c:pt idx="104">
                  <c:v>532.61488931362055</c:v>
                </c:pt>
                <c:pt idx="105">
                  <c:v>540.35523076412767</c:v>
                </c:pt>
                <c:pt idx="106">
                  <c:v>483.38393478600693</c:v>
                </c:pt>
                <c:pt idx="107">
                  <c:v>490.22768306866277</c:v>
                </c:pt>
                <c:pt idx="108">
                  <c:v>497.069405012402</c:v>
                </c:pt>
                <c:pt idx="109">
                  <c:v>503.90913245527855</c:v>
                </c:pt>
                <c:pt idx="110">
                  <c:v>510.7468963001516</c:v>
                </c:pt>
                <c:pt idx="111">
                  <c:v>517.5827265545804</c:v>
                </c:pt>
                <c:pt idx="112">
                  <c:v>524.41665236850611</c:v>
                </c:pt>
                <c:pt idx="113">
                  <c:v>531.24870206986236</c:v>
                </c:pt>
                <c:pt idx="114">
                  <c:v>538.07890319826015</c:v>
                </c:pt>
                <c:pt idx="115">
                  <c:v>544.90728253687359</c:v>
                </c:pt>
                <c:pt idx="116">
                  <c:v>491.14002903381885</c:v>
                </c:pt>
                <c:pt idx="117">
                  <c:v>496.61335261438376</c:v>
                </c:pt>
                <c:pt idx="118">
                  <c:v>502.08539839288795</c:v>
                </c:pt>
                <c:pt idx="119">
                  <c:v>507.55618226902021</c:v>
                </c:pt>
                <c:pt idx="120">
                  <c:v>513.02571977154446</c:v>
                </c:pt>
                <c:pt idx="121">
                  <c:v>518.49402607090303</c:v>
                </c:pt>
                <c:pt idx="122">
                  <c:v>523.96111599125982</c:v>
                </c:pt>
                <c:pt idx="123">
                  <c:v>529.42700402201604</c:v>
                </c:pt>
                <c:pt idx="124">
                  <c:v>534.89170432882406</c:v>
                </c:pt>
                <c:pt idx="125">
                  <c:v>540.3552307641279</c:v>
                </c:pt>
                <c:pt idx="126">
                  <c:v>492.50848060673201</c:v>
                </c:pt>
                <c:pt idx="127">
                  <c:v>497.06940501240206</c:v>
                </c:pt>
                <c:pt idx="128">
                  <c:v>501.62944299248142</c:v>
                </c:pt>
                <c:pt idx="129">
                  <c:v>506.1886037478867</c:v>
                </c:pt>
                <c:pt idx="130">
                  <c:v>510.74689630015172</c:v>
                </c:pt>
                <c:pt idx="131">
                  <c:v>515.30432949652743</c:v>
                </c:pt>
                <c:pt idx="132">
                  <c:v>519.86091201489683</c:v>
                </c:pt>
                <c:pt idx="133">
                  <c:v>524.41665236850611</c:v>
                </c:pt>
                <c:pt idx="134">
                  <c:v>528.9715589105233</c:v>
                </c:pt>
                <c:pt idx="135">
                  <c:v>533.52563983843038</c:v>
                </c:pt>
                <c:pt idx="136">
                  <c:v>493.87685155793548</c:v>
                </c:pt>
                <c:pt idx="137">
                  <c:v>497.52544854631668</c:v>
                </c:pt>
                <c:pt idx="138">
                  <c:v>501.17347881997563</c:v>
                </c:pt>
                <c:pt idx="139">
                  <c:v>504.82094708965991</c:v>
                </c:pt>
                <c:pt idx="140">
                  <c:v>508.46785799243224</c:v>
                </c:pt>
                <c:pt idx="141">
                  <c:v>512.1142160933565</c:v>
                </c:pt>
                <c:pt idx="142">
                  <c:v>515.76002588713084</c:v>
                </c:pt>
                <c:pt idx="143">
                  <c:v>519.40529179967325</c:v>
                </c:pt>
                <c:pt idx="144">
                  <c:v>523.05001818966059</c:v>
                </c:pt>
                <c:pt idx="145">
                  <c:v>526.69420935002256</c:v>
                </c:pt>
                <c:pt idx="146">
                  <c:v>529.42700402201592</c:v>
                </c:pt>
                <c:pt idx="147">
                  <c:v>532.15950176791523</c:v>
                </c:pt>
                <c:pt idx="148">
                  <c:v>534.89170432882372</c:v>
                </c:pt>
                <c:pt idx="149">
                  <c:v>537.62361342659187</c:v>
                </c:pt>
                <c:pt idx="150">
                  <c:v>540.35523076412755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273584"/>
        <c:axId val="2106278480"/>
      </c:scatterChart>
      <c:valAx>
        <c:axId val="2106273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8480"/>
        <c:crosses val="autoZero"/>
        <c:crossBetween val="midCat"/>
      </c:valAx>
      <c:valAx>
        <c:axId val="210627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211.12636896992387</c:v>
                </c:pt>
                <c:pt idx="42">
                  <c:v>222.81230638924697</c:v>
                </c:pt>
                <c:pt idx="43">
                  <c:v>234.48418968616227</c:v>
                </c:pt>
                <c:pt idx="44">
                  <c:v>246.14281741922977</c:v>
                </c:pt>
                <c:pt idx="45">
                  <c:v>257.78890626510469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269.42310281421265</c:v>
                </c:pt>
                <c:pt idx="52">
                  <c:v>281.04599322042532</c:v>
                </c:pt>
                <c:pt idx="53">
                  <c:v>292.65811116959617</c:v>
                </c:pt>
                <c:pt idx="54">
                  <c:v>304.25994451630169</c:v>
                </c:pt>
                <c:pt idx="55">
                  <c:v>315.85194085471181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324.95330656071542</c:v>
                </c:pt>
                <c:pt idx="62">
                  <c:v>336.1154856070562</c:v>
                </c:pt>
                <c:pt idx="63">
                  <c:v>347.26950287262457</c:v>
                </c:pt>
                <c:pt idx="64">
                  <c:v>358.41565755176816</c:v>
                </c:pt>
                <c:pt idx="65">
                  <c:v>369.55422870449632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373.67775378131779</c:v>
                </c:pt>
                <c:pt idx="72">
                  <c:v>383.98225493635573</c:v>
                </c:pt>
                <c:pt idx="73">
                  <c:v>394.28074727616121</c:v>
                </c:pt>
                <c:pt idx="74">
                  <c:v>404.57340992986127</c:v>
                </c:pt>
                <c:pt idx="75">
                  <c:v>414.86041216554025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413.62626538682224</c:v>
                </c:pt>
                <c:pt idx="82">
                  <c:v>422.67484705445094</c:v>
                </c:pt>
                <c:pt idx="83">
                  <c:v>431.71925936589827</c:v>
                </c:pt>
                <c:pt idx="84">
                  <c:v>440.75960201986459</c:v>
                </c:pt>
                <c:pt idx="85">
                  <c:v>449.79597029004367</c:v>
                </c:pt>
                <c:pt idx="86">
                  <c:v>400.45703338613856</c:v>
                </c:pt>
                <c:pt idx="87">
                  <c:v>408.68888090830461</c:v>
                </c:pt>
                <c:pt idx="88">
                  <c:v>416.91714761061024</c:v>
                </c:pt>
                <c:pt idx="89">
                  <c:v>425.14191416939929</c:v>
                </c:pt>
                <c:pt idx="90">
                  <c:v>433.36325788318965</c:v>
                </c:pt>
                <c:pt idx="91">
                  <c:v>441.5812528768941</c:v>
                </c:pt>
                <c:pt idx="92">
                  <c:v>449.79597029004367</c:v>
                </c:pt>
                <c:pt idx="93">
                  <c:v>458.00747845053729</c:v>
                </c:pt>
                <c:pt idx="94">
                  <c:v>466.2158430352813</c:v>
                </c:pt>
                <c:pt idx="95">
                  <c:v>474.42112721892181</c:v>
                </c:pt>
                <c:pt idx="96">
                  <c:v>423.9084192441091</c:v>
                </c:pt>
                <c:pt idx="97">
                  <c:v>430.89720969800169</c:v>
                </c:pt>
                <c:pt idx="98">
                  <c:v>437.88356491828102</c:v>
                </c:pt>
                <c:pt idx="99">
                  <c:v>444.86752926426311</c:v>
                </c:pt>
                <c:pt idx="100">
                  <c:v>451.84914558797823</c:v>
                </c:pt>
                <c:pt idx="101">
                  <c:v>458.82845530839785</c:v>
                </c:pt>
                <c:pt idx="102">
                  <c:v>465.80549848090777</c:v>
                </c:pt>
                <c:pt idx="103">
                  <c:v>472.78031386240167</c:v>
                </c:pt>
                <c:pt idx="104">
                  <c:v>479.75293897233087</c:v>
                </c:pt>
                <c:pt idx="105">
                  <c:v>486.72341015001939</c:v>
                </c:pt>
                <c:pt idx="106">
                  <c:v>435.41806774560109</c:v>
                </c:pt>
                <c:pt idx="107">
                  <c:v>441.58125287689427</c:v>
                </c:pt>
                <c:pt idx="108">
                  <c:v>447.74259442675481</c:v>
                </c:pt>
                <c:pt idx="109">
                  <c:v>453.90212136173164</c:v>
                </c:pt>
                <c:pt idx="110">
                  <c:v>460.05986179752421</c:v>
                </c:pt>
                <c:pt idx="111">
                  <c:v>466.21584303528147</c:v>
                </c:pt>
                <c:pt idx="112">
                  <c:v>472.37009159588257</c:v>
                </c:pt>
                <c:pt idx="113">
                  <c:v>478.52263325233724</c:v>
                </c:pt>
                <c:pt idx="114">
                  <c:v>484.67349306043207</c:v>
                </c:pt>
                <c:pt idx="115">
                  <c:v>490.82269538774068</c:v>
                </c:pt>
                <c:pt idx="116">
                  <c:v>442.40287096043653</c:v>
                </c:pt>
                <c:pt idx="117">
                  <c:v>447.33189509390462</c:v>
                </c:pt>
                <c:pt idx="118">
                  <c:v>452.25975667152642</c:v>
                </c:pt>
                <c:pt idx="119">
                  <c:v>457.18647015898267</c:v>
                </c:pt>
                <c:pt idx="120">
                  <c:v>462.1120496844826</c:v>
                </c:pt>
                <c:pt idx="121">
                  <c:v>467.03650905023136</c:v>
                </c:pt>
                <c:pt idx="122">
                  <c:v>471.95986174338731</c:v>
                </c:pt>
                <c:pt idx="123">
                  <c:v>476.88212094653846</c:v>
                </c:pt>
                <c:pt idx="124">
                  <c:v>481.80329954772287</c:v>
                </c:pt>
                <c:pt idx="125">
                  <c:v>486.72341015001945</c:v>
                </c:pt>
                <c:pt idx="126">
                  <c:v>443.63523678752944</c:v>
                </c:pt>
                <c:pt idx="127">
                  <c:v>447.74259442675498</c:v>
                </c:pt>
                <c:pt idx="128">
                  <c:v>451.84914558797851</c:v>
                </c:pt>
                <c:pt idx="129">
                  <c:v>455.95489864227756</c:v>
                </c:pt>
                <c:pt idx="130">
                  <c:v>460.05986179752421</c:v>
                </c:pt>
                <c:pt idx="131">
                  <c:v>464.16404310302795</c:v>
                </c:pt>
                <c:pt idx="132">
                  <c:v>468.26745045400463</c:v>
                </c:pt>
                <c:pt idx="133">
                  <c:v>472.37009159588268</c:v>
                </c:pt>
                <c:pt idx="134">
                  <c:v>476.47197412844918</c:v>
                </c:pt>
                <c:pt idx="135">
                  <c:v>480.57310550984795</c:v>
                </c:pt>
                <c:pt idx="136">
                  <c:v>444.86752926426328</c:v>
                </c:pt>
                <c:pt idx="137">
                  <c:v>448.15328569496381</c:v>
                </c:pt>
                <c:pt idx="138">
                  <c:v>451.4385265234958</c:v>
                </c:pt>
                <c:pt idx="139">
                  <c:v>454.72325603573967</c:v>
                </c:pt>
                <c:pt idx="140">
                  <c:v>458.00747845053735</c:v>
                </c:pt>
                <c:pt idx="141">
                  <c:v>461.29119792122509</c:v>
                </c:pt>
                <c:pt idx="142">
                  <c:v>464.57441853711953</c:v>
                </c:pt>
                <c:pt idx="143">
                  <c:v>467.8571443249611</c:v>
                </c:pt>
                <c:pt idx="144">
                  <c:v>471.13937925031331</c:v>
                </c:pt>
                <c:pt idx="145">
                  <c:v>474.42112721892181</c:v>
                </c:pt>
                <c:pt idx="146">
                  <c:v>476.88212094653824</c:v>
                </c:pt>
                <c:pt idx="147">
                  <c:v>479.34284452811465</c:v>
                </c:pt>
                <c:pt idx="148">
                  <c:v>481.80329954772265</c:v>
                </c:pt>
                <c:pt idx="149">
                  <c:v>484.26348757191704</c:v>
                </c:pt>
                <c:pt idx="150">
                  <c:v>486.72341015001922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279024"/>
        <c:axId val="2106279568"/>
      </c:scatterChart>
      <c:valAx>
        <c:axId val="2106279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9568"/>
        <c:crosses val="autoZero"/>
        <c:crossBetween val="midCat"/>
      </c:valAx>
      <c:valAx>
        <c:axId val="210627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9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280656"/>
        <c:axId val="2106280112"/>
      </c:scatterChart>
      <c:valAx>
        <c:axId val="2106280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80112"/>
        <c:crosses val="autoZero"/>
        <c:crossBetween val="midCat"/>
      </c:valAx>
      <c:valAx>
        <c:axId val="210628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80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275760"/>
        <c:axId val="2106274128"/>
      </c:scatterChart>
      <c:valAx>
        <c:axId val="2106275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4128"/>
        <c:crosses val="autoZero"/>
        <c:crossBetween val="midCat"/>
      </c:valAx>
      <c:valAx>
        <c:axId val="210627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5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276304"/>
        <c:axId val="2106277392"/>
      </c:scatterChart>
      <c:valAx>
        <c:axId val="210627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7392"/>
        <c:crosses val="autoZero"/>
        <c:crossBetween val="midCat"/>
      </c:valAx>
      <c:valAx>
        <c:axId val="210627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277936"/>
        <c:axId val="313927088"/>
      </c:scatterChart>
      <c:valAx>
        <c:axId val="2106277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3927088"/>
        <c:crosses val="autoZero"/>
        <c:crossBetween val="midCat"/>
      </c:valAx>
      <c:valAx>
        <c:axId val="3139270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627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73" zoomScale="85" zoomScaleNormal="85" workbookViewId="0">
      <selection activeCell="G91" sqref="G9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7.7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0.37</v>
      </c>
      <c r="D9" s="36">
        <f t="shared" ref="D9:D18" si="0">C9*$C$5</f>
        <v>2.8490000000000002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6</v>
      </c>
      <c r="C10" s="35">
        <v>4.0599999999999997E-2</v>
      </c>
      <c r="D10" s="36">
        <f t="shared" si="0"/>
        <v>0.31262000000000001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0.50649999999999995</v>
      </c>
      <c r="D11" s="36">
        <f t="shared" si="0"/>
        <v>3.9000499999999998</v>
      </c>
      <c r="E11" s="37">
        <v>42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52</v>
      </c>
      <c r="C12" s="35">
        <v>4.0599999999999997E-2</v>
      </c>
      <c r="D12" s="36">
        <f t="shared" si="0"/>
        <v>0.31262000000000001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</v>
      </c>
      <c r="C13" s="35">
        <v>4.0599999999999997E-2</v>
      </c>
      <c r="D13" s="36">
        <f t="shared" si="0"/>
        <v>0.31262000000000001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0.99829999999999985</v>
      </c>
      <c r="D19" s="41">
        <f>SUM(D9:D18)</f>
        <v>7.6869099999999992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v>70</v>
      </c>
      <c r="C37" s="61">
        <v>1</v>
      </c>
      <c r="D37" s="61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v>97</v>
      </c>
      <c r="C38" s="61"/>
      <c r="D38" s="61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v>137</v>
      </c>
      <c r="C39" s="61">
        <v>2</v>
      </c>
      <c r="D39" s="61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v>137</v>
      </c>
      <c r="C40" s="61"/>
      <c r="D40" s="61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v>179</v>
      </c>
      <c r="C41" s="61">
        <v>3</v>
      </c>
      <c r="D41" s="61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v>178</v>
      </c>
      <c r="C42" s="61"/>
      <c r="D42" s="61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v>218</v>
      </c>
      <c r="C43" s="61">
        <v>4</v>
      </c>
      <c r="D43" s="61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1">
        <v>214</v>
      </c>
      <c r="C44" s="61"/>
      <c r="D44" s="61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1">
        <v>250</v>
      </c>
      <c r="C45" s="61">
        <v>5</v>
      </c>
      <c r="D45" s="61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1">
        <v>242</v>
      </c>
      <c r="C46" s="61"/>
      <c r="D46" s="61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1">
        <v>273</v>
      </c>
      <c r="C47" s="61">
        <v>6</v>
      </c>
      <c r="D47" s="61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61">
        <v>290</v>
      </c>
      <c r="C48" s="61">
        <v>7</v>
      </c>
      <c r="D48" s="61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61">
        <v>300</v>
      </c>
      <c r="C49" s="61">
        <v>8</v>
      </c>
      <c r="D49" s="61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>
        <v>150</v>
      </c>
      <c r="B55" s="53">
        <v>306</v>
      </c>
      <c r="C55" s="53">
        <v>13</v>
      </c>
      <c r="D55" s="53">
        <f>B55</f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Charme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64+7</f>
        <v>71</v>
      </c>
      <c r="C63" s="61">
        <v>1</v>
      </c>
      <c r="D63" s="61">
        <f>7+9</f>
        <v>16</v>
      </c>
      <c r="E63" s="54"/>
      <c r="F63" s="54"/>
      <c r="G63" s="54"/>
      <c r="H63" s="54">
        <v>1</v>
      </c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v>86</v>
      </c>
      <c r="C64" s="61"/>
      <c r="D64" s="61"/>
      <c r="E64" s="54"/>
      <c r="F64" s="54"/>
      <c r="G64" s="54"/>
      <c r="H64" s="54"/>
      <c r="I64" s="52">
        <f>IF(A64&lt;&gt;0,(B64-(B63-D63))/(A64-A63),"")</f>
        <v>6.2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106+11</f>
        <v>117</v>
      </c>
      <c r="C65" s="61">
        <v>2</v>
      </c>
      <c r="D65" s="61">
        <f>12+11</f>
        <v>23</v>
      </c>
      <c r="E65" s="54"/>
      <c r="F65" s="54"/>
      <c r="G65" s="54"/>
      <c r="H65" s="54"/>
      <c r="I65" s="52">
        <f>IF(A65&lt;&gt;0,(B65-(B64-D64))/(A65-A64),"")</f>
        <v>6.2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v>125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6.2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143+13</f>
        <v>156</v>
      </c>
      <c r="C67" s="61">
        <v>3</v>
      </c>
      <c r="D67" s="61">
        <f>13+14</f>
        <v>27</v>
      </c>
      <c r="E67" s="54"/>
      <c r="F67" s="54"/>
      <c r="G67" s="54"/>
      <c r="H67" s="54"/>
      <c r="I67" s="52">
        <f t="shared" si="2"/>
        <v>6.2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v>159</v>
      </c>
      <c r="C68" s="61"/>
      <c r="D68" s="61"/>
      <c r="E68" s="54"/>
      <c r="F68" s="54"/>
      <c r="G68" s="54"/>
      <c r="H68" s="54"/>
      <c r="I68" s="52">
        <f t="shared" si="2"/>
        <v>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f>173+14</f>
        <v>187</v>
      </c>
      <c r="C69" s="53">
        <v>4</v>
      </c>
      <c r="D69" s="53">
        <f>14+14</f>
        <v>28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186</v>
      </c>
      <c r="C70" s="53"/>
      <c r="D70" s="53"/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f>197+14</f>
        <v>211</v>
      </c>
      <c r="C71" s="53">
        <v>5</v>
      </c>
      <c r="D71" s="53">
        <v>28</v>
      </c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208</v>
      </c>
      <c r="C72" s="53"/>
      <c r="D72" s="53"/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f>218+14</f>
        <v>232</v>
      </c>
      <c r="C73" s="53">
        <v>6</v>
      </c>
      <c r="D73" s="53">
        <v>28</v>
      </c>
      <c r="E73" s="54"/>
      <c r="F73" s="54"/>
      <c r="G73" s="54"/>
      <c r="H73" s="54"/>
      <c r="I73" s="52">
        <f t="shared" si="2"/>
        <v>4.8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226</v>
      </c>
      <c r="C74" s="53"/>
      <c r="D74" s="53"/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f>235+14</f>
        <v>249</v>
      </c>
      <c r="C75" s="53">
        <v>7</v>
      </c>
      <c r="D75" s="53">
        <v>27</v>
      </c>
      <c r="E75" s="54"/>
      <c r="F75" s="54"/>
      <c r="G75" s="54"/>
      <c r="H75" s="54"/>
      <c r="I75" s="52">
        <f t="shared" si="2"/>
        <v>4.5999999999999996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242</v>
      </c>
      <c r="C76" s="53"/>
      <c r="D76" s="53"/>
      <c r="E76" s="54"/>
      <c r="F76" s="54"/>
      <c r="G76" s="54"/>
      <c r="H76" s="54"/>
      <c r="I76" s="52">
        <f t="shared" si="2"/>
        <v>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f>249+13</f>
        <v>262</v>
      </c>
      <c r="C77" s="53">
        <v>8</v>
      </c>
      <c r="D77" s="53">
        <v>26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255</v>
      </c>
      <c r="C78" s="53"/>
      <c r="D78" s="53"/>
      <c r="E78" s="54"/>
      <c r="F78" s="54"/>
      <c r="G78" s="54"/>
      <c r="H78" s="54"/>
      <c r="I78" s="52">
        <f t="shared" si="2"/>
        <v>3.8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f>261+13</f>
        <v>274</v>
      </c>
      <c r="C79" s="53">
        <v>9</v>
      </c>
      <c r="D79" s="53">
        <v>25</v>
      </c>
      <c r="E79" s="54"/>
      <c r="F79" s="54"/>
      <c r="G79" s="54"/>
      <c r="H79" s="54"/>
      <c r="I79" s="52">
        <f t="shared" si="2"/>
        <v>3.8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v>266</v>
      </c>
      <c r="C80" s="53"/>
      <c r="D80" s="53"/>
      <c r="E80" s="54"/>
      <c r="F80" s="54"/>
      <c r="G80" s="54"/>
      <c r="H80" s="54"/>
      <c r="I80" s="52">
        <f t="shared" si="2"/>
        <v>3.4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53">
        <v>300</v>
      </c>
      <c r="C81" s="53">
        <v>10</v>
      </c>
      <c r="D81" s="53">
        <f>B81</f>
        <v>300</v>
      </c>
      <c r="E81" s="54"/>
      <c r="F81" s="54"/>
      <c r="G81" s="54"/>
      <c r="H81" s="54"/>
      <c r="I81" s="52">
        <f t="shared" si="2"/>
        <v>3.4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12</v>
      </c>
      <c r="B88" s="61">
        <v>48.662500000000001</v>
      </c>
      <c r="C88" s="61"/>
      <c r="D88" s="61"/>
      <c r="E88" s="54"/>
      <c r="F88" s="54"/>
      <c r="G88" s="54"/>
      <c r="H88" s="91"/>
      <c r="I88" s="56">
        <f>IFERROR(B88/A88,"")</f>
        <v>4.0552083333333337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13</v>
      </c>
      <c r="B89" s="61">
        <v>66.096000000000004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17.433500000000002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14</v>
      </c>
      <c r="B90" s="61">
        <v>85.756500000000003</v>
      </c>
      <c r="C90" s="61">
        <v>1</v>
      </c>
      <c r="D90" s="61">
        <v>22.2</v>
      </c>
      <c r="E90" s="91"/>
      <c r="F90" s="91"/>
      <c r="G90" s="91">
        <v>1</v>
      </c>
      <c r="H90" s="91"/>
      <c r="I90" s="56">
        <f t="shared" si="3"/>
        <v>19.660499999999999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15</v>
      </c>
      <c r="B91" s="61">
        <v>79.950999999999993</v>
      </c>
      <c r="C91" s="61"/>
      <c r="D91" s="61"/>
      <c r="E91" s="91"/>
      <c r="F91" s="91"/>
      <c r="G91" s="91"/>
      <c r="H91" s="91"/>
      <c r="I91" s="56">
        <f t="shared" si="3"/>
        <v>16.394499999999994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16</v>
      </c>
      <c r="B92" s="61">
        <v>90.686499999999995</v>
      </c>
      <c r="C92" s="61"/>
      <c r="D92" s="61"/>
      <c r="E92" s="91"/>
      <c r="F92" s="91"/>
      <c r="G92" s="91"/>
      <c r="H92" s="91"/>
      <c r="I92" s="56">
        <f t="shared" si="3"/>
        <v>10.735500000000002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17</v>
      </c>
      <c r="B93" s="61">
        <v>103.054</v>
      </c>
      <c r="C93" s="61"/>
      <c r="D93" s="61"/>
      <c r="E93" s="91"/>
      <c r="F93" s="91"/>
      <c r="G93" s="91"/>
      <c r="H93" s="91"/>
      <c r="I93" s="56">
        <f t="shared" si="3"/>
        <v>12.367500000000007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18</v>
      </c>
      <c r="B94" s="61">
        <v>116.78149999999999</v>
      </c>
      <c r="C94" s="61"/>
      <c r="D94" s="61"/>
      <c r="E94" s="91"/>
      <c r="F94" s="91"/>
      <c r="G94" s="91"/>
      <c r="H94" s="91"/>
      <c r="I94" s="56">
        <f t="shared" si="3"/>
        <v>13.727499999999992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19</v>
      </c>
      <c r="B95" s="61">
        <v>134.41899999999998</v>
      </c>
      <c r="C95" s="61">
        <v>2</v>
      </c>
      <c r="D95" s="61">
        <v>34.090000000000003</v>
      </c>
      <c r="E95" s="91">
        <v>0.25</v>
      </c>
      <c r="F95" s="91"/>
      <c r="G95" s="91">
        <v>0.75</v>
      </c>
      <c r="H95" s="91"/>
      <c r="I95" s="56">
        <f t="shared" si="3"/>
        <v>17.637499999999989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20</v>
      </c>
      <c r="B96" s="61">
        <v>116.926</v>
      </c>
      <c r="C96" s="61"/>
      <c r="D96" s="61"/>
      <c r="E96" s="91"/>
      <c r="F96" s="91"/>
      <c r="G96" s="91"/>
      <c r="H96" s="91"/>
      <c r="I96" s="56">
        <f t="shared" si="3"/>
        <v>16.597000000000023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21</v>
      </c>
      <c r="B97" s="61">
        <v>134.99699999999999</v>
      </c>
      <c r="C97" s="61"/>
      <c r="D97" s="61"/>
      <c r="E97" s="91"/>
      <c r="F97" s="91"/>
      <c r="G97" s="91"/>
      <c r="H97" s="91"/>
      <c r="I97" s="56">
        <f t="shared" si="3"/>
        <v>18.070999999999984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22</v>
      </c>
      <c r="B98" s="61">
        <v>153.935</v>
      </c>
      <c r="C98" s="61"/>
      <c r="D98" s="61"/>
      <c r="E98" s="91"/>
      <c r="F98" s="91"/>
      <c r="G98" s="91"/>
      <c r="H98" s="91"/>
      <c r="I98" s="56">
        <f t="shared" si="3"/>
        <v>18.938000000000017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23</v>
      </c>
      <c r="B99" s="61">
        <v>173.60400000000001</v>
      </c>
      <c r="C99" s="61"/>
      <c r="D99" s="61"/>
      <c r="E99" s="91"/>
      <c r="F99" s="91"/>
      <c r="G99" s="91"/>
      <c r="H99" s="91"/>
      <c r="I99" s="56">
        <f t="shared" si="3"/>
        <v>19.669000000000011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24</v>
      </c>
      <c r="B100" s="61">
        <v>194.4375</v>
      </c>
      <c r="C100" s="61"/>
      <c r="D100" s="61"/>
      <c r="E100" s="66"/>
      <c r="F100" s="66"/>
      <c r="G100" s="66"/>
      <c r="H100" s="66"/>
      <c r="I100" s="56">
        <f t="shared" si="3"/>
        <v>20.833499999999987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25</v>
      </c>
      <c r="B101" s="61">
        <v>215.6875</v>
      </c>
      <c r="C101" s="61">
        <v>3</v>
      </c>
      <c r="D101" s="61">
        <v>54</v>
      </c>
      <c r="E101" s="66">
        <v>0.25</v>
      </c>
      <c r="F101" s="66"/>
      <c r="G101" s="66">
        <v>0.75</v>
      </c>
      <c r="H101" s="66"/>
      <c r="I101" s="56">
        <f t="shared" si="3"/>
        <v>21.25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26</v>
      </c>
      <c r="B102" s="53">
        <v>178.755</v>
      </c>
      <c r="C102" s="61"/>
      <c r="D102" s="53"/>
      <c r="E102" s="57"/>
      <c r="F102" s="57"/>
      <c r="G102" s="57"/>
      <c r="H102" s="57"/>
      <c r="I102" s="56">
        <f t="shared" si="3"/>
        <v>17.067499999999995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27</v>
      </c>
      <c r="B103" s="53">
        <v>195.90799999999999</v>
      </c>
      <c r="C103" s="61"/>
      <c r="D103" s="53"/>
      <c r="E103" s="57"/>
      <c r="F103" s="57"/>
      <c r="G103" s="57"/>
      <c r="H103" s="57"/>
      <c r="I103" s="56">
        <f t="shared" si="3"/>
        <v>17.152999999999992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28</v>
      </c>
      <c r="B104" s="53">
        <v>213.4265</v>
      </c>
      <c r="C104" s="61"/>
      <c r="D104" s="53"/>
      <c r="E104" s="57"/>
      <c r="F104" s="57"/>
      <c r="G104" s="57"/>
      <c r="H104" s="57"/>
      <c r="I104" s="56">
        <f t="shared" si="3"/>
        <v>17.518500000000017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29</v>
      </c>
      <c r="B105" s="53">
        <v>231.29350000000002</v>
      </c>
      <c r="C105" s="53"/>
      <c r="D105" s="53"/>
      <c r="E105" s="57"/>
      <c r="F105" s="57"/>
      <c r="G105" s="57"/>
      <c r="H105" s="57"/>
      <c r="I105" s="56">
        <f t="shared" si="3"/>
        <v>17.867000000000019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30</v>
      </c>
      <c r="B106" s="53">
        <v>249.203</v>
      </c>
      <c r="C106" s="53"/>
      <c r="D106" s="53"/>
      <c r="E106" s="57"/>
      <c r="F106" s="57"/>
      <c r="G106" s="57"/>
      <c r="H106" s="57"/>
      <c r="I106" s="56">
        <f t="shared" si="3"/>
        <v>17.90949999999998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42</v>
      </c>
      <c r="B107" s="53">
        <v>360.8845</v>
      </c>
      <c r="C107" s="53">
        <v>4</v>
      </c>
      <c r="D107" s="53">
        <f>B107</f>
        <v>360.8845</v>
      </c>
      <c r="E107" s="57">
        <v>0.6</v>
      </c>
      <c r="F107" s="57"/>
      <c r="G107" s="57">
        <v>0.4</v>
      </c>
      <c r="H107" s="57"/>
      <c r="I107" s="56">
        <f t="shared" si="3"/>
        <v>9.3067916666666672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Cormier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25</v>
      </c>
      <c r="B114" s="61">
        <v>30</v>
      </c>
      <c r="C114" s="53"/>
      <c r="D114" s="61"/>
      <c r="E114" s="54"/>
      <c r="F114" s="54"/>
      <c r="G114" s="54"/>
      <c r="H114" s="54"/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1">
        <v>54</v>
      </c>
      <c r="C115" s="53"/>
      <c r="D115" s="61"/>
      <c r="E115" s="54"/>
      <c r="F115" s="54"/>
      <c r="G115" s="54"/>
      <c r="H115" s="54"/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35</v>
      </c>
      <c r="B116" s="61">
        <v>79</v>
      </c>
      <c r="C116" s="53">
        <v>1</v>
      </c>
      <c r="D116" s="61">
        <v>13</v>
      </c>
      <c r="E116" s="54"/>
      <c r="F116" s="54"/>
      <c r="G116" s="54"/>
      <c r="H116" s="54">
        <v>1</v>
      </c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40</v>
      </c>
      <c r="B117" s="61">
        <v>93</v>
      </c>
      <c r="C117" s="53"/>
      <c r="D117" s="61"/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45</v>
      </c>
      <c r="B118" s="61">
        <v>121</v>
      </c>
      <c r="C118" s="53">
        <v>2</v>
      </c>
      <c r="D118" s="61">
        <v>28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50</v>
      </c>
      <c r="B119" s="61">
        <v>121</v>
      </c>
      <c r="C119" s="53"/>
      <c r="D119" s="61"/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55</v>
      </c>
      <c r="B120" s="61">
        <v>149</v>
      </c>
      <c r="C120" s="61">
        <v>3</v>
      </c>
      <c r="D120" s="61">
        <v>28</v>
      </c>
      <c r="E120" s="91"/>
      <c r="F120" s="91"/>
      <c r="G120" s="91"/>
      <c r="H120" s="91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60</v>
      </c>
      <c r="B121" s="61">
        <v>148</v>
      </c>
      <c r="C121" s="61"/>
      <c r="D121" s="61"/>
      <c r="E121" s="91"/>
      <c r="F121" s="91"/>
      <c r="G121" s="91"/>
      <c r="H121" s="91"/>
      <c r="I121" s="56">
        <f t="shared" si="4"/>
        <v>5.4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65</v>
      </c>
      <c r="B122" s="61">
        <v>175</v>
      </c>
      <c r="C122" s="61">
        <v>4</v>
      </c>
      <c r="D122" s="61">
        <v>28</v>
      </c>
      <c r="E122" s="91"/>
      <c r="F122" s="91"/>
      <c r="G122" s="91"/>
      <c r="H122" s="91"/>
      <c r="I122" s="56">
        <f t="shared" si="4"/>
        <v>5.4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70</v>
      </c>
      <c r="B123" s="61">
        <v>172</v>
      </c>
      <c r="C123" s="61"/>
      <c r="D123" s="61"/>
      <c r="E123" s="91"/>
      <c r="F123" s="91"/>
      <c r="G123" s="91"/>
      <c r="H123" s="91"/>
      <c r="I123" s="56">
        <f t="shared" si="4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75</v>
      </c>
      <c r="B124" s="61">
        <v>197</v>
      </c>
      <c r="C124" s="61">
        <v>5</v>
      </c>
      <c r="D124" s="61">
        <v>28</v>
      </c>
      <c r="E124" s="91"/>
      <c r="F124" s="91"/>
      <c r="G124" s="91"/>
      <c r="H124" s="91"/>
      <c r="I124" s="56">
        <f t="shared" si="4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80</v>
      </c>
      <c r="B125" s="61">
        <v>192</v>
      </c>
      <c r="C125" s="61"/>
      <c r="D125" s="61"/>
      <c r="E125" s="91"/>
      <c r="F125" s="91"/>
      <c r="G125" s="91"/>
      <c r="H125" s="91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85</v>
      </c>
      <c r="B126" s="61">
        <v>214</v>
      </c>
      <c r="C126" s="61">
        <v>6</v>
      </c>
      <c r="D126" s="61">
        <v>28</v>
      </c>
      <c r="E126" s="66"/>
      <c r="F126" s="66"/>
      <c r="G126" s="66"/>
      <c r="H126" s="66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95</v>
      </c>
      <c r="B127" s="61">
        <v>226</v>
      </c>
      <c r="C127" s="61">
        <v>7</v>
      </c>
      <c r="D127" s="61">
        <v>28</v>
      </c>
      <c r="E127" s="66"/>
      <c r="F127" s="66"/>
      <c r="G127" s="66"/>
      <c r="H127" s="66"/>
      <c r="I127" s="56">
        <f t="shared" si="4"/>
        <v>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281">
        <v>105</v>
      </c>
      <c r="B128" s="53">
        <v>232</v>
      </c>
      <c r="C128" s="53">
        <v>8</v>
      </c>
      <c r="D128" s="61">
        <v>28</v>
      </c>
      <c r="E128" s="57"/>
      <c r="F128" s="57"/>
      <c r="G128" s="57"/>
      <c r="H128" s="57"/>
      <c r="I128" s="56">
        <f t="shared" si="4"/>
        <v>3.4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281">
        <v>115</v>
      </c>
      <c r="B129" s="53">
        <v>234</v>
      </c>
      <c r="C129" s="53">
        <v>9</v>
      </c>
      <c r="D129" s="53">
        <v>26</v>
      </c>
      <c r="E129" s="57"/>
      <c r="F129" s="57"/>
      <c r="G129" s="57"/>
      <c r="H129" s="57"/>
      <c r="I129" s="56">
        <f t="shared" si="4"/>
        <v>3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281">
        <v>125</v>
      </c>
      <c r="B130" s="53">
        <v>232</v>
      </c>
      <c r="C130" s="53">
        <v>10</v>
      </c>
      <c r="D130" s="53">
        <v>23</v>
      </c>
      <c r="E130" s="57"/>
      <c r="F130" s="57"/>
      <c r="G130" s="57"/>
      <c r="H130" s="57"/>
      <c r="I130" s="56">
        <f t="shared" si="4"/>
        <v>2.4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281">
        <v>135</v>
      </c>
      <c r="B131" s="53">
        <v>229</v>
      </c>
      <c r="C131" s="53">
        <v>11</v>
      </c>
      <c r="D131" s="53">
        <v>19</v>
      </c>
      <c r="E131" s="57"/>
      <c r="F131" s="57"/>
      <c r="G131" s="57"/>
      <c r="H131" s="57"/>
      <c r="I131" s="56">
        <f t="shared" si="4"/>
        <v>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81">
        <v>145</v>
      </c>
      <c r="B132" s="53">
        <v>226</v>
      </c>
      <c r="C132" s="53"/>
      <c r="D132" s="53"/>
      <c r="E132" s="57"/>
      <c r="F132" s="57"/>
      <c r="G132" s="57"/>
      <c r="H132" s="57"/>
      <c r="I132" s="56">
        <f t="shared" si="4"/>
        <v>1.6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81">
        <v>150</v>
      </c>
      <c r="B133" s="53">
        <v>232</v>
      </c>
      <c r="C133" s="53">
        <v>12</v>
      </c>
      <c r="D133" s="53">
        <f>B133</f>
        <v>232</v>
      </c>
      <c r="E133" s="57"/>
      <c r="F133" s="57"/>
      <c r="G133" s="57"/>
      <c r="H133" s="57"/>
      <c r="I133" s="56">
        <f t="shared" si="4"/>
        <v>1.2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25</v>
      </c>
      <c r="B140" s="61">
        <v>30</v>
      </c>
      <c r="C140" s="53"/>
      <c r="D140" s="61"/>
      <c r="E140" s="54"/>
      <c r="F140" s="54"/>
      <c r="G140" s="54"/>
      <c r="H140" s="54"/>
      <c r="I140" s="59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1">
        <v>54</v>
      </c>
      <c r="C141" s="53"/>
      <c r="D141" s="61"/>
      <c r="E141" s="54"/>
      <c r="F141" s="54"/>
      <c r="G141" s="54"/>
      <c r="H141" s="54"/>
      <c r="I141" s="59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1">
        <v>79</v>
      </c>
      <c r="C142" s="53">
        <v>1</v>
      </c>
      <c r="D142" s="61">
        <v>13</v>
      </c>
      <c r="E142" s="54"/>
      <c r="F142" s="54"/>
      <c r="G142" s="54"/>
      <c r="H142" s="54">
        <v>1</v>
      </c>
      <c r="I142" s="59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61">
        <v>93</v>
      </c>
      <c r="C143" s="53"/>
      <c r="D143" s="61"/>
      <c r="E143" s="54"/>
      <c r="F143" s="54"/>
      <c r="G143" s="54"/>
      <c r="H143" s="54"/>
      <c r="I143" s="59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45</v>
      </c>
      <c r="B144" s="61">
        <v>121</v>
      </c>
      <c r="C144" s="53">
        <v>2</v>
      </c>
      <c r="D144" s="61">
        <v>28</v>
      </c>
      <c r="E144" s="54"/>
      <c r="F144" s="54"/>
      <c r="G144" s="54"/>
      <c r="H144" s="54"/>
      <c r="I144" s="59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50</v>
      </c>
      <c r="B145" s="61">
        <v>121</v>
      </c>
      <c r="C145" s="53"/>
      <c r="D145" s="61"/>
      <c r="E145" s="54"/>
      <c r="F145" s="54"/>
      <c r="G145" s="54"/>
      <c r="H145" s="54"/>
      <c r="I145" s="59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55</v>
      </c>
      <c r="B146" s="61">
        <v>149</v>
      </c>
      <c r="C146" s="61">
        <v>3</v>
      </c>
      <c r="D146" s="61">
        <v>28</v>
      </c>
      <c r="E146" s="91"/>
      <c r="F146" s="91"/>
      <c r="G146" s="91"/>
      <c r="H146" s="91"/>
      <c r="I146" s="59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60</v>
      </c>
      <c r="B147" s="61">
        <v>148</v>
      </c>
      <c r="C147" s="61"/>
      <c r="D147" s="61"/>
      <c r="E147" s="91"/>
      <c r="F147" s="91"/>
      <c r="G147" s="91"/>
      <c r="H147" s="91"/>
      <c r="I147" s="59">
        <f>IF(A147&lt;&gt;0,(B147-(B146-D146))/(A147-A146),"")</f>
        <v>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65</v>
      </c>
      <c r="B148" s="61">
        <v>175</v>
      </c>
      <c r="C148" s="61">
        <v>4</v>
      </c>
      <c r="D148" s="61">
        <v>28</v>
      </c>
      <c r="E148" s="91"/>
      <c r="F148" s="91"/>
      <c r="G148" s="91"/>
      <c r="H148" s="91"/>
      <c r="I148" s="59">
        <f t="shared" si="5"/>
        <v>5.4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70</v>
      </c>
      <c r="B149" s="61">
        <v>172</v>
      </c>
      <c r="C149" s="61"/>
      <c r="D149" s="61"/>
      <c r="E149" s="91"/>
      <c r="F149" s="91"/>
      <c r="G149" s="91"/>
      <c r="H149" s="91"/>
      <c r="I149" s="59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75</v>
      </c>
      <c r="B150" s="61">
        <v>197</v>
      </c>
      <c r="C150" s="61">
        <v>5</v>
      </c>
      <c r="D150" s="61">
        <v>28</v>
      </c>
      <c r="E150" s="91"/>
      <c r="F150" s="91"/>
      <c r="G150" s="91"/>
      <c r="H150" s="91"/>
      <c r="I150" s="59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80</v>
      </c>
      <c r="B151" s="61">
        <v>192</v>
      </c>
      <c r="C151" s="61"/>
      <c r="D151" s="61"/>
      <c r="E151" s="91"/>
      <c r="F151" s="91"/>
      <c r="G151" s="91"/>
      <c r="H151" s="91"/>
      <c r="I151" s="59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85</v>
      </c>
      <c r="B152" s="61">
        <v>214</v>
      </c>
      <c r="C152" s="61">
        <v>6</v>
      </c>
      <c r="D152" s="61">
        <v>28</v>
      </c>
      <c r="E152" s="66"/>
      <c r="F152" s="66"/>
      <c r="G152" s="66"/>
      <c r="H152" s="66"/>
      <c r="I152" s="59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95</v>
      </c>
      <c r="B153" s="61">
        <v>226</v>
      </c>
      <c r="C153" s="61">
        <v>7</v>
      </c>
      <c r="D153" s="61">
        <v>28</v>
      </c>
      <c r="E153" s="66"/>
      <c r="F153" s="66"/>
      <c r="G153" s="66"/>
      <c r="H153" s="66"/>
      <c r="I153" s="59">
        <f t="shared" si="5"/>
        <v>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281">
        <v>105</v>
      </c>
      <c r="B154" s="53">
        <v>232</v>
      </c>
      <c r="C154" s="53">
        <v>8</v>
      </c>
      <c r="D154" s="61">
        <v>28</v>
      </c>
      <c r="E154" s="57"/>
      <c r="F154" s="57"/>
      <c r="G154" s="57"/>
      <c r="H154" s="57"/>
      <c r="I154" s="59">
        <f t="shared" si="5"/>
        <v>3.4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281">
        <v>115</v>
      </c>
      <c r="B155" s="53">
        <v>234</v>
      </c>
      <c r="C155" s="53">
        <v>9</v>
      </c>
      <c r="D155" s="53">
        <v>26</v>
      </c>
      <c r="E155" s="57"/>
      <c r="F155" s="57"/>
      <c r="G155" s="57"/>
      <c r="H155" s="57"/>
      <c r="I155" s="59">
        <f t="shared" si="5"/>
        <v>3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281">
        <v>125</v>
      </c>
      <c r="B156" s="53">
        <v>232</v>
      </c>
      <c r="C156" s="53">
        <v>10</v>
      </c>
      <c r="D156" s="53">
        <v>23</v>
      </c>
      <c r="E156" s="57"/>
      <c r="F156" s="57"/>
      <c r="G156" s="57"/>
      <c r="H156" s="57"/>
      <c r="I156" s="59">
        <f t="shared" si="5"/>
        <v>2.4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81">
        <v>135</v>
      </c>
      <c r="B157" s="53">
        <v>229</v>
      </c>
      <c r="C157" s="53">
        <v>11</v>
      </c>
      <c r="D157" s="53">
        <v>19</v>
      </c>
      <c r="E157" s="57"/>
      <c r="F157" s="57"/>
      <c r="G157" s="57"/>
      <c r="H157" s="57"/>
      <c r="I157" s="59">
        <f t="shared" si="5"/>
        <v>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81">
        <v>145</v>
      </c>
      <c r="B158" s="53">
        <v>226</v>
      </c>
      <c r="C158" s="53"/>
      <c r="D158" s="53"/>
      <c r="E158" s="57"/>
      <c r="F158" s="57"/>
      <c r="G158" s="57"/>
      <c r="H158" s="57"/>
      <c r="I158" s="59">
        <f t="shared" si="5"/>
        <v>1.6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81">
        <v>150</v>
      </c>
      <c r="B159" s="53">
        <v>232</v>
      </c>
      <c r="C159" s="53">
        <v>12</v>
      </c>
      <c r="D159" s="53">
        <v>232</v>
      </c>
      <c r="E159" s="57"/>
      <c r="F159" s="57"/>
      <c r="G159" s="57"/>
      <c r="H159" s="57"/>
      <c r="I159" s="59">
        <f t="shared" si="5"/>
        <v>1.2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="115" zoomScaleNormal="115" workbookViewId="0">
      <selection activeCell="C14" sqref="C1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Charme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Pin maritime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Cormier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Alisier torminal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430.21146937947236</v>
      </c>
      <c r="T3" s="60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370.04285308422544</v>
      </c>
      <c r="AO3" s="60">
        <f>IF('Données projet'!E10&gt;30,$AM$33-$H$33,LOOKUP('Données projet'!$E$10,$A$3:$A$203,AM3:AM203)-LOOKUP('Données projet'!$E$10,$A$3:$A$203,$H$3:$H$203))</f>
        <v>218.53758068502731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225.82185458224626</v>
      </c>
      <c r="BJ3" s="60">
        <f>IF('Données projet'!E11&gt;30,$BH$33-$H$33,LOOKUP('Données projet'!$E$11,$A$3:$A$203,BH3:BH203)-LOOKUP('Données projet'!$E$11,$A$3:$A$203,$H$3:$H$203))</f>
        <v>363.02009369315243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380.16582491288449</v>
      </c>
      <c r="CE3" s="60">
        <f>IF('Données projet'!E12&gt;30,$CC$33-$H$33,LOOKUP('Données projet'!$E$12,$A$3:$A$203,CC3:CC203)-LOOKUP('Données projet'!$E$12,$A$3:$A$203,$H$3:$H$203))</f>
        <v>166.97658184507776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345.71694170753534</v>
      </c>
      <c r="CZ3" s="60">
        <f>IF('Données projet'!E13&gt;30,$CX$33-$H$33,LOOKUP('Données projet'!$E$13,$A$3:$A$203,CX3:CX203)-LOOKUP('Données projet'!$E$13,$A$3:$A$203,$H$3:$H$203))</f>
        <v>154.08406475869634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260.65521412271448</v>
      </c>
      <c r="S4" s="60">
        <f ca="1">AVERAGE(OFFSET($R$3,0,0,'Données projet'!$E$9+1,1))-AVERAGE(OFFSET($H$3,0,0,'Données projet'!$E$9+1,1))</f>
        <v>430.21146937947236</v>
      </c>
      <c r="T4" s="60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1.1471412528159133</v>
      </c>
      <c r="AK4" s="14">
        <f>EXP(-1.0587+0.8836*LN(AJ4)+0.284)</f>
        <v>0.52027092443628509</v>
      </c>
      <c r="AL4" s="22">
        <f t="shared" ref="AL4:AL67" si="4">(AJ4+AK4)*0.475*44/12</f>
        <v>2.9040762087142453</v>
      </c>
      <c r="AM4" s="60">
        <f t="shared" ref="AM4:AM67" si="5">AL4+(AD4+AE4)*44/12</f>
        <v>260.79296509760309</v>
      </c>
      <c r="AN4" s="60">
        <f ca="1">AVERAGE(OFFSET($AM$3,0,0,'Données projet'!$E$10+1,1))-AVERAGE(OFFSET($H$3,0,0,'Données projet'!$E$10+1,1))</f>
        <v>370.04285308422544</v>
      </c>
      <c r="AO4" s="60">
        <f>$AO$3</f>
        <v>218.53758068502731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4.0552083333333337</v>
      </c>
      <c r="BD4" s="13">
        <f>IF('Données projet'!$A$88&gt;35,BD3+BC4-BL3,IF(A4&lt;'Données projet'!$A$88,$BA$205^A4,IF(A4='Données projet'!$A$88,'Données projet'!$B$88,BD3+BC4-BL3)))</f>
        <v>1.3822911730149987</v>
      </c>
      <c r="BE4" s="14">
        <f>BD4*VLOOKUP('Données projet'!$B$11,Paramètres!$A$1:$I$89,3,0)*VLOOKUP('Données projet'!$B$11,Paramètres!$A$1:$I$89,5,0)</f>
        <v>0.82661012146296919</v>
      </c>
      <c r="BF4" s="14">
        <f>EXP(-1.0587+0.8836*LN(BE4)+0.284)</f>
        <v>0.38947445648608353</v>
      </c>
      <c r="BG4" s="22">
        <f t="shared" ref="BG4:BG67" si="7">(BE4+BF4)*0.475*44/12</f>
        <v>2.1180139732612671</v>
      </c>
      <c r="BH4" s="60">
        <f t="shared" ref="BH4:BH67" si="8">BG4+(AY4+AZ4)*44/12</f>
        <v>260.00690286215013</v>
      </c>
      <c r="BI4" s="60">
        <f ca="1">AVERAGE(OFFSET($BH$3,0,0,'Données projet'!$E$11+1,1))-AVERAGE(OFFSET($H$3,0,0,'Données projet'!$E$11+1,1))</f>
        <v>225.82185458224626</v>
      </c>
      <c r="BJ4" s="60">
        <f>$BJ$3</f>
        <v>363.02009369315243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1.233271056696907</v>
      </c>
      <c r="CA4" s="14">
        <f>EXP(-1.0587+0.8836*LN(BZ4)+0.284)</f>
        <v>0.55464025923604754</v>
      </c>
      <c r="CB4" s="22">
        <f t="shared" ref="CB4:CB67" si="10">(BZ4+CA4)*0.475*44/12</f>
        <v>3.113945541916562</v>
      </c>
      <c r="CC4" s="60">
        <f t="shared" ref="CC4:CC67" si="11">CB4+(BT4+BU4)*44/12</f>
        <v>261.00283443080542</v>
      </c>
      <c r="CD4" s="60">
        <f ca="1">AVERAGE(OFFSET($CC$3,0,0,'Données projet'!$E$12+1,1))-AVERAGE(OFFSET($H$3,0,0,'Données projet'!$E$12+1,1))</f>
        <v>380.16582491288449</v>
      </c>
      <c r="CE4" s="60">
        <f>$CE$3</f>
        <v>166.97658184507776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1.1081566016696847</v>
      </c>
      <c r="CV4" s="14">
        <f>EXP(-1.0587+0.8836*LN(CU4)+0.284)</f>
        <v>0.50461671312632472</v>
      </c>
      <c r="CW4" s="22">
        <f t="shared" ref="CW4:CW67" si="13">(CU4+CV4)*0.475*44/12</f>
        <v>2.808913523269716</v>
      </c>
      <c r="CX4" s="60">
        <f t="shared" ref="CX4:CX67" si="14">CW4+(CO4+CP4)*44/12</f>
        <v>260.69780241215858</v>
      </c>
      <c r="CY4" s="60">
        <f ca="1">AVERAGE(OFFSET($CX$3,0,0,'Données projet'!$E$13+1,1))-AVERAGE(OFFSET($H$3,0,0,'Données projet'!$E$13+1,1))</f>
        <v>345.71694170753534</v>
      </c>
      <c r="CZ4" s="60">
        <f>$CZ$3</f>
        <v>154.08406475869634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262.42339882093205</v>
      </c>
      <c r="S5" s="60">
        <f ca="1">AVERAGE(OFFSET($R$3,0,0,'Données projet'!$E$9+1,1))-AVERAGE(OFFSET($H$3,0,0,'Données projet'!$E$9+1,1))</f>
        <v>430.21146937947236</v>
      </c>
      <c r="T5" s="60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1.3828636548046063</v>
      </c>
      <c r="AK5" s="14">
        <f t="shared" ref="AK5:AK68" si="35">EXP(-1.0587+0.8836*LN(AJ5)+0.284)</f>
        <v>0.61368387142089176</v>
      </c>
      <c r="AL5" s="22">
        <f t="shared" si="4"/>
        <v>3.4773202748427425</v>
      </c>
      <c r="AM5" s="60">
        <f t="shared" si="5"/>
        <v>262.58843138595387</v>
      </c>
      <c r="AN5" s="60">
        <f ca="1">AVERAGE(OFFSET($AM$3,0,0,'Données projet'!$E$10+1,1))-AVERAGE(OFFSET($H$3,0,0,'Données projet'!$E$10+1,1))</f>
        <v>370.04285308422544</v>
      </c>
      <c r="AO5" s="60">
        <f t="shared" ref="AO5:AO68" si="36">$AO$3</f>
        <v>218.53758068502731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4.0552083333333337</v>
      </c>
      <c r="BD5" s="13">
        <f>IF('Données projet'!$A$88&gt;35,BD4+BC5-BL4,IF(A5&lt;'Données projet'!$A$88,$BA$205^A5,IF(A5='Données projet'!$A$88,'Données projet'!$B$88,BD4+BC5-BL4)))</f>
        <v>1.9107288869951811</v>
      </c>
      <c r="BE5" s="14">
        <f>BD5*VLOOKUP('Données projet'!$B$11,Paramètres!$A$1:$I$89,3,0)*VLOOKUP('Données projet'!$B$11,Paramètres!$A$1:$I$89,5,0)</f>
        <v>1.1426158744231183</v>
      </c>
      <c r="BF5" s="14">
        <f t="shared" ref="BF5:BF68" si="37">EXP(-1.0587+0.8836*LN(BE5)+0.284)</f>
        <v>0.51845698362995651</v>
      </c>
      <c r="BG5" s="22">
        <f t="shared" si="7"/>
        <v>2.8930352277757714</v>
      </c>
      <c r="BH5" s="60">
        <f t="shared" si="8"/>
        <v>262.00414633888693</v>
      </c>
      <c r="BI5" s="60">
        <f ca="1">AVERAGE(OFFSET($BH$3,0,0,'Données projet'!$E$11+1,1))-AVERAGE(OFFSET($H$3,0,0,'Données projet'!$E$11+1,1))</f>
        <v>225.82185458224626</v>
      </c>
      <c r="BJ5" s="60">
        <f t="shared" ref="BJ5:BJ68" si="38">$BJ$3</f>
        <v>363.02009369315243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1.4130039941344348</v>
      </c>
      <c r="CA5" s="14">
        <f t="shared" ref="CA5:CA68" si="39">EXP(-1.0587+0.8836*LN(BZ5)+0.284)</f>
        <v>0.62548768551477418</v>
      </c>
      <c r="CB5" s="22">
        <f t="shared" si="10"/>
        <v>3.5503730087223722</v>
      </c>
      <c r="CC5" s="60">
        <f t="shared" si="11"/>
        <v>262.66148411983352</v>
      </c>
      <c r="CD5" s="60">
        <f ca="1">AVERAGE(OFFSET($CC$3,0,0,'Données projet'!$E$12+1,1))-AVERAGE(OFFSET($H$3,0,0,'Données projet'!$E$12+1,1))</f>
        <v>380.16582491288449</v>
      </c>
      <c r="CE5" s="60">
        <f t="shared" ref="CE5:CE68" si="40">$CE$3</f>
        <v>166.97658184507776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1.2696557628454344</v>
      </c>
      <c r="CV5" s="14">
        <f t="shared" ref="CV5:CV68" si="41">EXP(-1.0587+0.8836*LN(CU5)+0.284)</f>
        <v>0.56907434090738995</v>
      </c>
      <c r="CW5" s="22">
        <f t="shared" si="13"/>
        <v>3.2024549307028356</v>
      </c>
      <c r="CX5" s="60">
        <f t="shared" si="14"/>
        <v>262.313566041814</v>
      </c>
      <c r="CY5" s="60">
        <f ca="1">AVERAGE(OFFSET($CX$3,0,0,'Données projet'!$E$13+1,1))-AVERAGE(OFFSET($H$3,0,0,'Données projet'!$E$13+1,1))</f>
        <v>345.71694170753534</v>
      </c>
      <c r="CZ5" s="60">
        <f t="shared" ref="CZ5:CZ68" si="42">$CZ$3</f>
        <v>154.08406475869634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264.29973523978072</v>
      </c>
      <c r="S6" s="60">
        <f ca="1">AVERAGE(OFFSET($R$3,0,0,'Données projet'!$E$9+1,1))-AVERAGE(OFFSET($H$3,0,0,'Données projet'!$E$9+1,1))</f>
        <v>430.21146937947236</v>
      </c>
      <c r="T6" s="60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1.6670239023183575</v>
      </c>
      <c r="AK6" s="14">
        <f t="shared" si="35"/>
        <v>0.72386880825637001</v>
      </c>
      <c r="AL6" s="22">
        <f t="shared" si="4"/>
        <v>4.1641381375843167</v>
      </c>
      <c r="AM6" s="60">
        <f t="shared" si="5"/>
        <v>264.49747147091762</v>
      </c>
      <c r="AN6" s="60">
        <f ca="1">AVERAGE(OFFSET($AM$3,0,0,'Données projet'!$E$10+1,1))-AVERAGE(OFFSET($H$3,0,0,'Données projet'!$E$10+1,1))</f>
        <v>370.04285308422544</v>
      </c>
      <c r="AO6" s="60">
        <f t="shared" si="36"/>
        <v>218.53758068502731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4.0552083333333337</v>
      </c>
      <c r="BD6" s="13">
        <f>IF('Données projet'!$A$88&gt;35,BD5+BC6-BL5,IF(A6&lt;'Données projet'!$A$88,$BA$205^A6,IF(A6='Données projet'!$A$88,'Données projet'!$B$88,BD5+BC6-BL5)))</f>
        <v>2.6411836745182118</v>
      </c>
      <c r="BE6" s="14">
        <f>BD6*VLOOKUP('Données projet'!$B$11,Paramètres!$A$1:$I$89,3,0)*VLOOKUP('Données projet'!$B$11,Paramètres!$A$1:$I$89,5,0)</f>
        <v>1.5794278373618909</v>
      </c>
      <c r="BF6" s="14">
        <f t="shared" si="37"/>
        <v>0.69015474416427491</v>
      </c>
      <c r="BG6" s="22">
        <f t="shared" si="7"/>
        <v>3.9528563294914054</v>
      </c>
      <c r="BH6" s="60">
        <f t="shared" si="8"/>
        <v>264.28618966282471</v>
      </c>
      <c r="BI6" s="60">
        <f ca="1">AVERAGE(OFFSET($BH$3,0,0,'Données projet'!$E$11+1,1))-AVERAGE(OFFSET($H$3,0,0,'Données projet'!$E$11+1,1))</f>
        <v>225.82185458224626</v>
      </c>
      <c r="BJ6" s="60">
        <f t="shared" si="38"/>
        <v>363.02009369315243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1.6189306289140883</v>
      </c>
      <c r="CA6" s="14">
        <f t="shared" si="39"/>
        <v>0.70538486562354785</v>
      </c>
      <c r="CB6" s="22">
        <f t="shared" si="10"/>
        <v>4.0481828196530492</v>
      </c>
      <c r="CC6" s="60">
        <f t="shared" si="11"/>
        <v>264.38151615298636</v>
      </c>
      <c r="CD6" s="60">
        <f ca="1">AVERAGE(OFFSET($CC$3,0,0,'Données projet'!$E$12+1,1))-AVERAGE(OFFSET($H$3,0,0,'Données projet'!$E$12+1,1))</f>
        <v>380.16582491288449</v>
      </c>
      <c r="CE6" s="60">
        <f t="shared" si="40"/>
        <v>166.97658184507776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1.4546912897488911</v>
      </c>
      <c r="CV6" s="14">
        <f t="shared" si="41"/>
        <v>0.64176551639126822</v>
      </c>
      <c r="CW6" s="22">
        <f t="shared" si="13"/>
        <v>3.6513289373607773</v>
      </c>
      <c r="CX6" s="60">
        <f t="shared" si="14"/>
        <v>263.98466227069412</v>
      </c>
      <c r="CY6" s="60">
        <f ca="1">AVERAGE(OFFSET($CX$3,0,0,'Données projet'!$E$13+1,1))-AVERAGE(OFFSET($H$3,0,0,'Données projet'!$E$13+1,1))</f>
        <v>345.71694170753534</v>
      </c>
      <c r="CZ6" s="60">
        <f t="shared" si="42"/>
        <v>154.08406475869634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266.30572241486152</v>
      </c>
      <c r="S7" s="60">
        <f ca="1">AVERAGE(OFFSET($R$3,0,0,'Données projet'!$E$9+1,1))-AVERAGE(OFFSET($H$3,0,0,'Données projet'!$E$9+1,1))</f>
        <v>430.21146937947236</v>
      </c>
      <c r="T7" s="60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2.0095753339423639</v>
      </c>
      <c r="AK7" s="14">
        <f t="shared" si="35"/>
        <v>0.85383709099815042</v>
      </c>
      <c r="AL7" s="22">
        <f t="shared" si="4"/>
        <v>4.9871099734380619</v>
      </c>
      <c r="AM7" s="60">
        <f t="shared" si="5"/>
        <v>266.54266552899361</v>
      </c>
      <c r="AN7" s="60">
        <f ca="1">AVERAGE(OFFSET($AM$3,0,0,'Données projet'!$E$10+1,1))-AVERAGE(OFFSET($H$3,0,0,'Données projet'!$E$10+1,1))</f>
        <v>370.04285308422544</v>
      </c>
      <c r="AO7" s="60">
        <f t="shared" si="36"/>
        <v>218.53758068502731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4.0552083333333337</v>
      </c>
      <c r="BD7" s="13">
        <f>IF('Données projet'!$A$88&gt;35,BD6+BC7-BL6,IF(A7&lt;'Données projet'!$A$88,$BA$205^A7,IF(A7='Données projet'!$A$88,'Données projet'!$B$88,BD6+BC7-BL6)))</f>
        <v>3.6508848795978435</v>
      </c>
      <c r="BE7" s="14">
        <f>BD7*VLOOKUP('Données projet'!$B$11,Paramètres!$A$1:$I$89,3,0)*VLOOKUP('Données projet'!$B$11,Paramètres!$A$1:$I$89,5,0)</f>
        <v>2.1832291579995107</v>
      </c>
      <c r="BF7" s="14">
        <f t="shared" si="37"/>
        <v>0.91871377169531943</v>
      </c>
      <c r="BG7" s="22">
        <f t="shared" si="7"/>
        <v>5.4025506025518295</v>
      </c>
      <c r="BH7" s="60">
        <f t="shared" si="8"/>
        <v>266.9581061581074</v>
      </c>
      <c r="BI7" s="60">
        <f ca="1">AVERAGE(OFFSET($BH$3,0,0,'Données projet'!$E$11+1,1))-AVERAGE(OFFSET($H$3,0,0,'Données projet'!$E$11+1,1))</f>
        <v>225.82185458224626</v>
      </c>
      <c r="BJ7" s="60">
        <f t="shared" si="38"/>
        <v>363.02009369315243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1.8548683458192732</v>
      </c>
      <c r="CA7" s="14">
        <f t="shared" si="39"/>
        <v>0.79548777725536501</v>
      </c>
      <c r="CB7" s="22">
        <f t="shared" si="10"/>
        <v>4.6160369143549937</v>
      </c>
      <c r="CC7" s="60">
        <f t="shared" si="11"/>
        <v>266.17159246991054</v>
      </c>
      <c r="CD7" s="60">
        <f ca="1">AVERAGE(OFFSET($CC$3,0,0,'Données projet'!$E$12+1,1))-AVERAGE(OFFSET($H$3,0,0,'Données projet'!$E$12+1,1))</f>
        <v>380.16582491288449</v>
      </c>
      <c r="CE7" s="60">
        <f t="shared" si="40"/>
        <v>166.97658184507776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1.6666932962434051</v>
      </c>
      <c r="CV7" s="14">
        <f t="shared" si="41"/>
        <v>0.72374195851500689</v>
      </c>
      <c r="CW7" s="22">
        <f t="shared" si="13"/>
        <v>4.1633414020375676</v>
      </c>
      <c r="CX7" s="60">
        <f t="shared" si="14"/>
        <v>265.71889695759313</v>
      </c>
      <c r="CY7" s="60">
        <f ca="1">AVERAGE(OFFSET($CX$3,0,0,'Données projet'!$E$13+1,1))-AVERAGE(OFFSET($H$3,0,0,'Données projet'!$E$13+1,1))</f>
        <v>345.71694170753534</v>
      </c>
      <c r="CZ7" s="60">
        <f t="shared" si="42"/>
        <v>154.08406475869634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268.46714702955143</v>
      </c>
      <c r="S8" s="60">
        <f ca="1">AVERAGE(OFFSET($R$3,0,0,'Données projet'!$E$9+1,1))-AVERAGE(OFFSET($H$3,0,0,'Données projet'!$E$9+1,1))</f>
        <v>430.21146937947236</v>
      </c>
      <c r="T8" s="60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2.4225165681027749</v>
      </c>
      <c r="AK8" s="14">
        <f t="shared" si="35"/>
        <v>1.0071407548562075</v>
      </c>
      <c r="AL8" s="22">
        <f t="shared" si="4"/>
        <v>5.9733198374868941</v>
      </c>
      <c r="AM8" s="60">
        <f t="shared" si="5"/>
        <v>268.75109761526465</v>
      </c>
      <c r="AN8" s="60">
        <f ca="1">AVERAGE(OFFSET($AM$3,0,0,'Données projet'!$E$10+1,1))-AVERAGE(OFFSET($H$3,0,0,'Données projet'!$E$10+1,1))</f>
        <v>370.04285308422544</v>
      </c>
      <c r="AO8" s="60">
        <f t="shared" si="36"/>
        <v>218.53758068502731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4.0552083333333337</v>
      </c>
      <c r="BD8" s="13">
        <f>IF('Données projet'!$A$88&gt;35,BD7+BC8-BL7,IF(A8&lt;'Données projet'!$A$88,$BA$205^A8,IF(A8='Données projet'!$A$88,'Données projet'!$B$88,BD7+BC8-BL7)))</f>
        <v>5.0465859427620252</v>
      </c>
      <c r="BE8" s="14">
        <f>BD8*VLOOKUP('Données projet'!$B$11,Paramètres!$A$1:$I$89,3,0)*VLOOKUP('Données projet'!$B$11,Paramètres!$A$1:$I$89,5,0)</f>
        <v>3.0178583937716912</v>
      </c>
      <c r="BF8" s="14">
        <f t="shared" si="37"/>
        <v>1.222964851635848</v>
      </c>
      <c r="BG8" s="22">
        <f t="shared" si="7"/>
        <v>7.3861004857514656</v>
      </c>
      <c r="BH8" s="60">
        <f t="shared" si="8"/>
        <v>270.16387826352923</v>
      </c>
      <c r="BI8" s="60">
        <f ca="1">AVERAGE(OFFSET($BH$3,0,0,'Données projet'!$E$11+1,1))-AVERAGE(OFFSET($H$3,0,0,'Données projet'!$E$11+1,1))</f>
        <v>225.82185458224626</v>
      </c>
      <c r="BJ8" s="60">
        <f t="shared" si="38"/>
        <v>363.02009369315243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2.1251908629526004</v>
      </c>
      <c r="CA8" s="14">
        <f t="shared" si="39"/>
        <v>0.89710005785748825</v>
      </c>
      <c r="CB8" s="22">
        <f t="shared" si="10"/>
        <v>5.2638233537442369</v>
      </c>
      <c r="CC8" s="60">
        <f t="shared" si="11"/>
        <v>268.04160113152199</v>
      </c>
      <c r="CD8" s="60">
        <f ca="1">AVERAGE(OFFSET($CC$3,0,0,'Données projet'!$E$12+1,1))-AVERAGE(OFFSET($H$3,0,0,'Données projet'!$E$12+1,1))</f>
        <v>380.16582491288449</v>
      </c>
      <c r="CE8" s="60">
        <f t="shared" si="40"/>
        <v>166.97658184507776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1.9095917898994379</v>
      </c>
      <c r="CV8" s="14">
        <f t="shared" si="41"/>
        <v>0.81618972839261894</v>
      </c>
      <c r="CW8" s="22">
        <f t="shared" si="13"/>
        <v>4.7474028110253315</v>
      </c>
      <c r="CX8" s="60">
        <f t="shared" si="14"/>
        <v>267.5251805888031</v>
      </c>
      <c r="CY8" s="60">
        <f ca="1">AVERAGE(OFFSET($CX$3,0,0,'Données projet'!$E$13+1,1))-AVERAGE(OFFSET($H$3,0,0,'Données projet'!$E$13+1,1))</f>
        <v>345.71694170753534</v>
      </c>
      <c r="CZ8" s="60">
        <f t="shared" si="42"/>
        <v>154.08406475869634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270.81494110736412</v>
      </c>
      <c r="S9" s="60">
        <f ca="1">AVERAGE(OFFSET($R$3,0,0,'Données projet'!$E$9+1,1))-AVERAGE(OFFSET($H$3,0,0,'Données projet'!$E$9+1,1))</f>
        <v>430.21146937947236</v>
      </c>
      <c r="T9" s="60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2.9203117811062675</v>
      </c>
      <c r="AK9" s="14">
        <f t="shared" si="35"/>
        <v>1.1879695913731732</v>
      </c>
      <c r="AL9" s="22">
        <f t="shared" si="4"/>
        <v>7.1552567237350262</v>
      </c>
      <c r="AM9" s="60">
        <f t="shared" si="5"/>
        <v>271.15525672373502</v>
      </c>
      <c r="AN9" s="60">
        <f ca="1">AVERAGE(OFFSET($AM$3,0,0,'Données projet'!$E$10+1,1))-AVERAGE(OFFSET($H$3,0,0,'Données projet'!$E$10+1,1))</f>
        <v>370.04285308422544</v>
      </c>
      <c r="AO9" s="60">
        <f t="shared" si="36"/>
        <v>218.53758068502731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4.0552083333333337</v>
      </c>
      <c r="BD9" s="13">
        <f>IF('Données projet'!$A$88&gt;35,BD8+BC9-BL8,IF(A9&lt;'Données projet'!$A$88,$BA$205^A9,IF(A9='Données projet'!$A$88,'Données projet'!$B$88,BD8+BC9-BL8)))</f>
        <v>6.9758512025415227</v>
      </c>
      <c r="BE9" s="14">
        <f>BD9*VLOOKUP('Données projet'!$B$11,Paramètres!$A$1:$I$89,3,0)*VLOOKUP('Données projet'!$B$11,Paramètres!$A$1:$I$89,5,0)</f>
        <v>4.1715590191198313</v>
      </c>
      <c r="BF9" s="14">
        <f t="shared" si="37"/>
        <v>1.6279749737252278</v>
      </c>
      <c r="BG9" s="22">
        <f t="shared" si="7"/>
        <v>10.100855037538478</v>
      </c>
      <c r="BH9" s="60">
        <f t="shared" si="8"/>
        <v>274.10085503753845</v>
      </c>
      <c r="BI9" s="60">
        <f ca="1">AVERAGE(OFFSET($BH$3,0,0,'Données projet'!$E$11+1,1))-AVERAGE(OFFSET($H$3,0,0,'Données projet'!$E$11+1,1))</f>
        <v>225.82185458224626</v>
      </c>
      <c r="BJ9" s="60">
        <f t="shared" si="38"/>
        <v>363.02009369315243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2.4349093099555601</v>
      </c>
      <c r="CA9" s="14">
        <f t="shared" si="39"/>
        <v>1.0116918660706939</v>
      </c>
      <c r="CB9" s="22">
        <f t="shared" si="10"/>
        <v>6.0028303815790593</v>
      </c>
      <c r="CC9" s="60">
        <f t="shared" si="11"/>
        <v>270.00283038157909</v>
      </c>
      <c r="CD9" s="60">
        <f ca="1">AVERAGE(OFFSET($CC$3,0,0,'Données projet'!$E$12+1,1))-AVERAGE(OFFSET($H$3,0,0,'Données projet'!$E$12+1,1))</f>
        <v>380.16582491288449</v>
      </c>
      <c r="CE9" s="60">
        <f t="shared" si="40"/>
        <v>166.97658184507776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2.1878895248876051</v>
      </c>
      <c r="CV9" s="14">
        <f t="shared" si="41"/>
        <v>0.92044638962272363</v>
      </c>
      <c r="CW9" s="22">
        <f t="shared" si="13"/>
        <v>5.4136850511054888</v>
      </c>
      <c r="CX9" s="60">
        <f t="shared" si="14"/>
        <v>269.41368505110552</v>
      </c>
      <c r="CY9" s="60">
        <f ca="1">AVERAGE(OFFSET($CX$3,0,0,'Données projet'!$E$13+1,1))-AVERAGE(OFFSET($H$3,0,0,'Données projet'!$E$13+1,1))</f>
        <v>345.71694170753534</v>
      </c>
      <c r="CZ9" s="60">
        <f t="shared" si="42"/>
        <v>154.08406475869634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273.38621175408076</v>
      </c>
      <c r="S10" s="60">
        <f ca="1">AVERAGE(OFFSET($R$3,0,0,'Données projet'!$E$9+1,1))-AVERAGE(OFFSET($H$3,0,0,'Données projet'!$E$9+1,1))</f>
        <v>430.21146937947236</v>
      </c>
      <c r="T10" s="60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3.520397346775237</v>
      </c>
      <c r="AK10" s="14">
        <f t="shared" si="35"/>
        <v>1.4012656554930452</v>
      </c>
      <c r="AL10" s="22">
        <f t="shared" si="4"/>
        <v>8.5718963956172569</v>
      </c>
      <c r="AM10" s="60">
        <f t="shared" si="5"/>
        <v>273.7941186178395</v>
      </c>
      <c r="AN10" s="60">
        <f ca="1">AVERAGE(OFFSET($AM$3,0,0,'Données projet'!$E$10+1,1))-AVERAGE(OFFSET($H$3,0,0,'Données projet'!$E$10+1,1))</f>
        <v>370.04285308422544</v>
      </c>
      <c r="AO10" s="60">
        <f t="shared" si="36"/>
        <v>218.53758068502731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4.0552083333333337</v>
      </c>
      <c r="BD10" s="13">
        <f>IF('Données projet'!$A$88&gt;35,BD9+BC10-BL9,IF(A10&lt;'Données projet'!$A$88,$BA$205^A10,IF(A10='Données projet'!$A$88,'Données projet'!$B$88,BD9+BC10-BL9)))</f>
        <v>9.6426575415392115</v>
      </c>
      <c r="BE10" s="14">
        <f>BD10*VLOOKUP('Données projet'!$B$11,Paramètres!$A$1:$I$89,3,0)*VLOOKUP('Données projet'!$B$11,Paramètres!$A$1:$I$89,5,0)</f>
        <v>5.7663092098404487</v>
      </c>
      <c r="BF10" s="14">
        <f t="shared" si="37"/>
        <v>2.1671125801617181</v>
      </c>
      <c r="BG10" s="22">
        <f t="shared" si="7"/>
        <v>13.817376284253774</v>
      </c>
      <c r="BH10" s="60">
        <f t="shared" si="8"/>
        <v>279.03959850647601</v>
      </c>
      <c r="BI10" s="60">
        <f ca="1">AVERAGE(OFFSET($BH$3,0,0,'Données projet'!$E$11+1,1))-AVERAGE(OFFSET($H$3,0,0,'Données projet'!$E$11+1,1))</f>
        <v>225.82185458224626</v>
      </c>
      <c r="BJ10" s="60">
        <f t="shared" si="38"/>
        <v>363.02009369315243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2.7897651223058633</v>
      </c>
      <c r="CA10" s="14">
        <f t="shared" si="39"/>
        <v>1.1409211524498617</v>
      </c>
      <c r="CB10" s="22">
        <f t="shared" si="10"/>
        <v>6.8459452618662198</v>
      </c>
      <c r="CC10" s="60">
        <f t="shared" si="11"/>
        <v>272.06816748408846</v>
      </c>
      <c r="CD10" s="60">
        <f ca="1">AVERAGE(OFFSET($CC$3,0,0,'Données projet'!$E$12+1,1))-AVERAGE(OFFSET($H$3,0,0,'Données projet'!$E$12+1,1))</f>
        <v>380.16582491288449</v>
      </c>
      <c r="CE10" s="60">
        <f t="shared" si="40"/>
        <v>166.97658184507776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2.5067454722168625</v>
      </c>
      <c r="CV10" s="14">
        <f t="shared" si="41"/>
        <v>1.038020360582093</v>
      </c>
      <c r="CW10" s="22">
        <f t="shared" si="13"/>
        <v>6.1738004921248475</v>
      </c>
      <c r="CX10" s="60">
        <f t="shared" si="14"/>
        <v>271.39602271434705</v>
      </c>
      <c r="CY10" s="60">
        <f ca="1">AVERAGE(OFFSET($CX$3,0,0,'Données projet'!$E$13+1,1))-AVERAGE(OFFSET($H$3,0,0,'Données projet'!$E$13+1,1))</f>
        <v>345.71694170753534</v>
      </c>
      <c r="CZ10" s="60">
        <f t="shared" si="42"/>
        <v>154.08406475869634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276.22547755046565</v>
      </c>
      <c r="S11" s="60">
        <f ca="1">AVERAGE(OFFSET($R$3,0,0,'Données projet'!$E$9+1,1))-AVERAGE(OFFSET($H$3,0,0,'Données projet'!$E$9+1,1))</f>
        <v>430.21146937947236</v>
      </c>
      <c r="T11" s="60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4.2437925838477959</v>
      </c>
      <c r="AK11" s="14">
        <f t="shared" si="35"/>
        <v>1.6528583320004788</v>
      </c>
      <c r="AL11" s="22">
        <f t="shared" si="4"/>
        <v>10.27000034510241</v>
      </c>
      <c r="AM11" s="60">
        <f t="shared" si="5"/>
        <v>276.71444478954686</v>
      </c>
      <c r="AN11" s="60">
        <f ca="1">AVERAGE(OFFSET($AM$3,0,0,'Données projet'!$E$10+1,1))-AVERAGE(OFFSET($H$3,0,0,'Données projet'!$E$10+1,1))</f>
        <v>370.04285308422544</v>
      </c>
      <c r="AO11" s="60">
        <f t="shared" si="36"/>
        <v>218.53758068502731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4.0552083333333337</v>
      </c>
      <c r="BD11" s="13">
        <f>IF('Données projet'!$A$88&gt;35,BD10+BC11-BL10,IF(A11&lt;'Données projet'!$A$88,$BA$205^A11,IF(A11='Données projet'!$A$88,'Données projet'!$B$88,BD10+BC11-BL10)))</f>
        <v>13.32896040407616</v>
      </c>
      <c r="BE11" s="14">
        <f>BD11*VLOOKUP('Données projet'!$B$11,Paramètres!$A$1:$I$89,3,0)*VLOOKUP('Données projet'!$B$11,Paramètres!$A$1:$I$89,5,0)</f>
        <v>7.9707183216375439</v>
      </c>
      <c r="BF11" s="14">
        <f t="shared" si="37"/>
        <v>2.8847967633978144</v>
      </c>
      <c r="BG11" s="22">
        <f t="shared" si="7"/>
        <v>18.906688773103248</v>
      </c>
      <c r="BH11" s="60">
        <f t="shared" si="8"/>
        <v>285.35113321754773</v>
      </c>
      <c r="BI11" s="60">
        <f ca="1">AVERAGE(OFFSET($BH$3,0,0,'Données projet'!$E$11+1,1))-AVERAGE(OFFSET($H$3,0,0,'Données projet'!$E$11+1,1))</f>
        <v>225.82185458224626</v>
      </c>
      <c r="BJ11" s="60">
        <f t="shared" si="38"/>
        <v>363.02009369315243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3.1963364737294016</v>
      </c>
      <c r="CA11" s="14">
        <f t="shared" si="39"/>
        <v>1.28665764721742</v>
      </c>
      <c r="CB11" s="22">
        <f t="shared" si="10"/>
        <v>7.8078814273157144</v>
      </c>
      <c r="CC11" s="60">
        <f t="shared" si="11"/>
        <v>274.25232587176015</v>
      </c>
      <c r="CD11" s="60">
        <f ca="1">AVERAGE(OFFSET($CC$3,0,0,'Données projet'!$E$12+1,1))-AVERAGE(OFFSET($H$3,0,0,'Données projet'!$E$12+1,1))</f>
        <v>380.16582491288449</v>
      </c>
      <c r="CE11" s="60">
        <f t="shared" si="40"/>
        <v>166.97658184507776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2.8720704546554043</v>
      </c>
      <c r="CV11" s="14">
        <f t="shared" si="41"/>
        <v>1.1706127387002112</v>
      </c>
      <c r="CW11" s="22">
        <f t="shared" si="13"/>
        <v>7.04100656176103</v>
      </c>
      <c r="CX11" s="60">
        <f t="shared" si="14"/>
        <v>273.48545100620549</v>
      </c>
      <c r="CY11" s="60">
        <f ca="1">AVERAGE(OFFSET($CX$3,0,0,'Données projet'!$E$13+1,1))-AVERAGE(OFFSET($H$3,0,0,'Données projet'!$E$13+1,1))</f>
        <v>345.71694170753534</v>
      </c>
      <c r="CZ11" s="60">
        <f t="shared" si="42"/>
        <v>154.08406475869634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279.38615317116773</v>
      </c>
      <c r="S12" s="60">
        <f ca="1">AVERAGE(OFFSET($R$3,0,0,'Données projet'!$E$9+1,1))-AVERAGE(OFFSET($H$3,0,0,'Données projet'!$E$9+1,1))</f>
        <v>430.21146937947236</v>
      </c>
      <c r="T12" s="60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5.1158360039155557</v>
      </c>
      <c r="AK12" s="14">
        <f t="shared" si="35"/>
        <v>1.9496236526985691</v>
      </c>
      <c r="AL12" s="22">
        <f t="shared" si="4"/>
        <v>12.305675568602934</v>
      </c>
      <c r="AM12" s="60">
        <f t="shared" si="5"/>
        <v>279.97234223526959</v>
      </c>
      <c r="AN12" s="60">
        <f ca="1">AVERAGE(OFFSET($AM$3,0,0,'Données projet'!$E$10+1,1))-AVERAGE(OFFSET($H$3,0,0,'Données projet'!$E$10+1,1))</f>
        <v>370.04285308422544</v>
      </c>
      <c r="AO12" s="60">
        <f t="shared" si="36"/>
        <v>218.53758068502731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4.0552083333333337</v>
      </c>
      <c r="BD12" s="13">
        <f>IF('Données projet'!$A$88&gt;35,BD11+BC12-BL11,IF(A12&lt;'Données projet'!$A$88,$BA$205^A12,IF(A12='Données projet'!$A$88,'Données projet'!$B$88,BD11+BC12-BL11)))</f>
        <v>18.424504312020908</v>
      </c>
      <c r="BE12" s="14">
        <f>BD12*VLOOKUP('Données projet'!$B$11,Paramètres!$A$1:$I$89,3,0)*VLOOKUP('Données projet'!$B$11,Paramètres!$A$1:$I$89,5,0)</f>
        <v>11.017853578588504</v>
      </c>
      <c r="BF12" s="14">
        <f t="shared" si="37"/>
        <v>3.8401569176851367</v>
      </c>
      <c r="BG12" s="22">
        <f t="shared" si="7"/>
        <v>25.877701614343255</v>
      </c>
      <c r="BH12" s="60">
        <f t="shared" si="8"/>
        <v>293.54436828100995</v>
      </c>
      <c r="BI12" s="60">
        <f ca="1">AVERAGE(OFFSET($BH$3,0,0,'Données projet'!$E$11+1,1))-AVERAGE(OFFSET($H$3,0,0,'Données projet'!$E$11+1,1))</f>
        <v>225.82185458224626</v>
      </c>
      <c r="BJ12" s="60">
        <f t="shared" si="38"/>
        <v>363.02009369315243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3.6621602197279119</v>
      </c>
      <c r="CA12" s="14">
        <f t="shared" si="39"/>
        <v>1.4510099121120625</v>
      </c>
      <c r="CB12" s="22">
        <f t="shared" si="10"/>
        <v>8.9054379796212881</v>
      </c>
      <c r="CC12" s="60">
        <f t="shared" si="11"/>
        <v>276.57210464628798</v>
      </c>
      <c r="CD12" s="60">
        <f ca="1">AVERAGE(OFFSET($CC$3,0,0,'Données projet'!$E$12+1,1))-AVERAGE(OFFSET($H$3,0,0,'Données projet'!$E$12+1,1))</f>
        <v>380.16582491288449</v>
      </c>
      <c r="CE12" s="60">
        <f t="shared" si="40"/>
        <v>166.97658184507776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3.2906367191758048</v>
      </c>
      <c r="CV12" s="14">
        <f t="shared" si="41"/>
        <v>1.3201419124753617</v>
      </c>
      <c r="CW12" s="22">
        <f t="shared" si="13"/>
        <v>8.0304394501257814</v>
      </c>
      <c r="CX12" s="60">
        <f t="shared" si="14"/>
        <v>275.69710611679244</v>
      </c>
      <c r="CY12" s="60">
        <f ca="1">AVERAGE(OFFSET($CX$3,0,0,'Données projet'!$E$13+1,1))-AVERAGE(OFFSET($H$3,0,0,'Données projet'!$E$13+1,1))</f>
        <v>345.71694170753534</v>
      </c>
      <c r="CZ12" s="60">
        <f t="shared" si="42"/>
        <v>154.08406475869634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282.93233218914207</v>
      </c>
      <c r="S13" s="60">
        <f ca="1">AVERAGE(OFFSET($R$3,0,0,'Données projet'!$E$9+1,1))-AVERAGE(OFFSET($H$3,0,0,'Données projet'!$E$9+1,1))</f>
        <v>430.21146937947236</v>
      </c>
      <c r="T13" s="60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6.1670728486049251</v>
      </c>
      <c r="AK13" s="14">
        <f t="shared" si="35"/>
        <v>2.2996722184660952</v>
      </c>
      <c r="AL13" s="22">
        <f t="shared" si="4"/>
        <v>14.746247658482027</v>
      </c>
      <c r="AM13" s="60">
        <f t="shared" si="5"/>
        <v>283.63513654737091</v>
      </c>
      <c r="AN13" s="60">
        <f ca="1">AVERAGE(OFFSET($AM$3,0,0,'Données projet'!$E$10+1,1))-AVERAGE(OFFSET($H$3,0,0,'Données projet'!$E$10+1,1))</f>
        <v>370.04285308422544</v>
      </c>
      <c r="AO13" s="60">
        <f t="shared" si="36"/>
        <v>218.53758068502731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4.0552083333333337</v>
      </c>
      <c r="BD13" s="13">
        <f>IF('Données projet'!$A$88&gt;35,BD12+BC13-BL12,IF(A13&lt;'Données projet'!$A$88,$BA$205^A13,IF(A13='Données projet'!$A$88,'Données projet'!$B$88,BD12+BC13-BL12)))</f>
        <v>25.46802967768328</v>
      </c>
      <c r="BE13" s="14">
        <f>BD13*VLOOKUP('Données projet'!$B$11,Paramètres!$A$1:$I$89,3,0)*VLOOKUP('Données projet'!$B$11,Paramètres!$A$1:$I$89,5,0)</f>
        <v>15.229881747254604</v>
      </c>
      <c r="BF13" s="14">
        <f t="shared" si="37"/>
        <v>5.1119043599715157</v>
      </c>
      <c r="BG13" s="22">
        <f t="shared" si="7"/>
        <v>35.428610803418827</v>
      </c>
      <c r="BH13" s="60">
        <f t="shared" si="8"/>
        <v>304.31749969230771</v>
      </c>
      <c r="BI13" s="60">
        <f ca="1">AVERAGE(OFFSET($BH$3,0,0,'Données projet'!$E$11+1,1))-AVERAGE(OFFSET($H$3,0,0,'Données projet'!$E$11+1,1))</f>
        <v>225.82185458224626</v>
      </c>
      <c r="BJ13" s="60">
        <f t="shared" si="38"/>
        <v>363.02009369315243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4.1958716127621871</v>
      </c>
      <c r="CA13" s="14">
        <f t="shared" si="39"/>
        <v>1.63635584772744</v>
      </c>
      <c r="CB13" s="22">
        <f t="shared" si="10"/>
        <v>10.157796160352767</v>
      </c>
      <c r="CC13" s="60">
        <f t="shared" si="11"/>
        <v>279.0466850492416</v>
      </c>
      <c r="CD13" s="60">
        <f ca="1">AVERAGE(OFFSET($CC$3,0,0,'Données projet'!$E$12+1,1))-AVERAGE(OFFSET($H$3,0,0,'Données projet'!$E$12+1,1))</f>
        <v>380.16582491288449</v>
      </c>
      <c r="CE13" s="60">
        <f t="shared" si="40"/>
        <v>166.97658184507776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3.7702034781341398</v>
      </c>
      <c r="CV13" s="14">
        <f t="shared" si="41"/>
        <v>1.4887713173266797</v>
      </c>
      <c r="CW13" s="22">
        <f t="shared" si="13"/>
        <v>9.1593811020942599</v>
      </c>
      <c r="CX13" s="60">
        <f t="shared" si="14"/>
        <v>278.0482699909831</v>
      </c>
      <c r="CY13" s="60">
        <f ca="1">AVERAGE(OFFSET($CX$3,0,0,'Données projet'!$E$13+1,1))-AVERAGE(OFFSET($H$3,0,0,'Données projet'!$E$13+1,1))</f>
        <v>345.71694170753534</v>
      </c>
      <c r="CZ13" s="60">
        <f t="shared" si="42"/>
        <v>154.08406475869634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286.94092810276993</v>
      </c>
      <c r="S14" s="60">
        <f ca="1">AVERAGE(OFFSET($R$3,0,0,'Données projet'!$E$9+1,1))-AVERAGE(OFFSET($H$3,0,0,'Données projet'!$E$9+1,1))</f>
        <v>430.21146937947236</v>
      </c>
      <c r="T14" s="60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7.4343250039466771</v>
      </c>
      <c r="AK14" s="14">
        <f t="shared" si="35"/>
        <v>2.712570862107007</v>
      </c>
      <c r="AL14" s="22">
        <f t="shared" si="4"/>
        <v>17.672510300043498</v>
      </c>
      <c r="AM14" s="60">
        <f t="shared" si="5"/>
        <v>287.78362141115463</v>
      </c>
      <c r="AN14" s="60">
        <f ca="1">AVERAGE(OFFSET($AM$3,0,0,'Données projet'!$E$10+1,1))-AVERAGE(OFFSET($H$3,0,0,'Données projet'!$E$10+1,1))</f>
        <v>370.04285308422544</v>
      </c>
      <c r="AO14" s="60">
        <f t="shared" si="36"/>
        <v>218.53758068502731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4.0552083333333337</v>
      </c>
      <c r="BD14" s="13">
        <f>IF('Données projet'!$A$88&gt;35,BD13+BC14-BL13,IF(A14&lt;'Données projet'!$A$88,$BA$205^A14,IF(A14='Données projet'!$A$88,'Données projet'!$B$88,BD13+BC14-BL13)))</f>
        <v>35.204232617545621</v>
      </c>
      <c r="BE14" s="14">
        <f>BD14*VLOOKUP('Données projet'!$B$11,Paramètres!$A$1:$I$89,3,0)*VLOOKUP('Données projet'!$B$11,Paramètres!$A$1:$I$89,5,0)</f>
        <v>21.052131105292283</v>
      </c>
      <c r="BF14" s="14">
        <f t="shared" si="37"/>
        <v>6.8048172888851708</v>
      </c>
      <c r="BG14" s="22">
        <f t="shared" si="7"/>
        <v>48.517518453192395</v>
      </c>
      <c r="BH14" s="60">
        <f t="shared" si="8"/>
        <v>318.62862956430354</v>
      </c>
      <c r="BI14" s="60">
        <f ca="1">AVERAGE(OFFSET($BH$3,0,0,'Données projet'!$E$11+1,1))-AVERAGE(OFFSET($H$3,0,0,'Données projet'!$E$11+1,1))</f>
        <v>225.82185458224626</v>
      </c>
      <c r="BJ14" s="60">
        <f t="shared" si="38"/>
        <v>363.02009369315243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4.8073643790744889</v>
      </c>
      <c r="CA14" s="14">
        <f t="shared" si="39"/>
        <v>1.8453770977306692</v>
      </c>
      <c r="CB14" s="22">
        <f t="shared" si="10"/>
        <v>11.586858072102316</v>
      </c>
      <c r="CC14" s="60">
        <f t="shared" si="11"/>
        <v>281.69796918321344</v>
      </c>
      <c r="CD14" s="60">
        <f ca="1">AVERAGE(OFFSET($CC$3,0,0,'Données projet'!$E$12+1,1))-AVERAGE(OFFSET($H$3,0,0,'Données projet'!$E$12+1,1))</f>
        <v>380.16582491288449</v>
      </c>
      <c r="CE14" s="60">
        <f t="shared" si="40"/>
        <v>166.97658184507776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4.3196607464147583</v>
      </c>
      <c r="CV14" s="14">
        <f t="shared" si="41"/>
        <v>1.6789407368626241</v>
      </c>
      <c r="CW14" s="22">
        <f t="shared" si="13"/>
        <v>10.44756425004144</v>
      </c>
      <c r="CX14" s="60">
        <f t="shared" si="14"/>
        <v>280.55867536115261</v>
      </c>
      <c r="CY14" s="60">
        <f ca="1">AVERAGE(OFFSET($CX$3,0,0,'Données projet'!$E$13+1,1))-AVERAGE(OFFSET($H$3,0,0,'Données projet'!$E$13+1,1))</f>
        <v>345.71694170753534</v>
      </c>
      <c r="CZ14" s="60">
        <f t="shared" si="42"/>
        <v>154.08406475869634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291.50424573777804</v>
      </c>
      <c r="S15" s="60">
        <f ca="1">AVERAGE(OFFSET($R$3,0,0,'Données projet'!$E$9+1,1))-AVERAGE(OFFSET($H$3,0,0,'Données projet'!$E$9+1,1))</f>
        <v>430.21146937947236</v>
      </c>
      <c r="T15" s="60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8.9619807680412578</v>
      </c>
      <c r="AK15" s="14">
        <f t="shared" si="35"/>
        <v>3.1996041100413177</v>
      </c>
      <c r="AL15" s="22">
        <f t="shared" si="4"/>
        <v>21.181426995993817</v>
      </c>
      <c r="AM15" s="60">
        <f t="shared" si="5"/>
        <v>292.51476032932715</v>
      </c>
      <c r="AN15" s="60">
        <f ca="1">AVERAGE(OFFSET($AM$3,0,0,'Données projet'!$E$10+1,1))-AVERAGE(OFFSET($H$3,0,0,'Données projet'!$E$10+1,1))</f>
        <v>370.04285308422544</v>
      </c>
      <c r="AO15" s="60">
        <f t="shared" si="36"/>
        <v>218.53758068502731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48.662500000000001</v>
      </c>
      <c r="BB15" s="13">
        <f>VLOOKUP(A15,'Données projet'!$A$87:$I$107,9,0)</f>
        <v>4.0552083333333337</v>
      </c>
      <c r="BC15" s="13">
        <f t="array" ref="BC15">INDEX(BB:BB,MIN(IF(ISNUMBER(BB15:BB211),ROW(BB15:BB211),"")))</f>
        <v>4.0552083333333337</v>
      </c>
      <c r="BD15" s="13">
        <f>IF('Données projet'!$A$88&gt;35,BD14+BC15-BL14,IF(A15&lt;'Données projet'!$A$88,$BA$205^A15,IF(A15='Données projet'!$A$88,'Données projet'!$B$88,BD14+BC15-BL14)))</f>
        <v>48.662500000000001</v>
      </c>
      <c r="BE15" s="14">
        <f>BD15*VLOOKUP('Données projet'!$B$11,Paramètres!$A$1:$I$89,3,0)*VLOOKUP('Données projet'!$B$11,Paramètres!$A$1:$I$89,5,0)</f>
        <v>29.100175</v>
      </c>
      <c r="BF15" s="14">
        <f t="shared" si="37"/>
        <v>9.0583733721044215</v>
      </c>
      <c r="BG15" s="22">
        <f t="shared" si="7"/>
        <v>66.459471748081853</v>
      </c>
      <c r="BH15" s="60">
        <f t="shared" si="8"/>
        <v>337.79280508141517</v>
      </c>
      <c r="BI15" s="60">
        <f ca="1">AVERAGE(OFFSET($BH$3,0,0,'Données projet'!$E$11+1,1))-AVERAGE(OFFSET($H$3,0,0,'Données projet'!$E$11+1,1))</f>
        <v>225.82185458224626</v>
      </c>
      <c r="BJ15" s="60">
        <f t="shared" si="38"/>
        <v>363.02009369315243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5.5079741245896177</v>
      </c>
      <c r="CA15" s="14">
        <f t="shared" si="39"/>
        <v>2.0810978477317659</v>
      </c>
      <c r="CB15" s="22">
        <f t="shared" si="10"/>
        <v>13.217633685126408</v>
      </c>
      <c r="CC15" s="60">
        <f t="shared" si="11"/>
        <v>284.55096701845974</v>
      </c>
      <c r="CD15" s="60">
        <f ca="1">AVERAGE(OFFSET($CC$3,0,0,'Données projet'!$E$12+1,1))-AVERAGE(OFFSET($H$3,0,0,'Données projet'!$E$12+1,1))</f>
        <v>380.16582491288449</v>
      </c>
      <c r="CE15" s="60">
        <f t="shared" si="40"/>
        <v>166.97658184507776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4.9491941409355986</v>
      </c>
      <c r="CV15" s="14">
        <f t="shared" si="41"/>
        <v>1.8934016024425293</v>
      </c>
      <c r="CW15" s="22">
        <f t="shared" si="13"/>
        <v>11.917520919716907</v>
      </c>
      <c r="CX15" s="60">
        <f t="shared" si="14"/>
        <v>283.25085425305019</v>
      </c>
      <c r="CY15" s="60">
        <f ca="1">AVERAGE(OFFSET($CX$3,0,0,'Données projet'!$E$13+1,1))-AVERAGE(OFFSET($H$3,0,0,'Données projet'!$E$13+1,1))</f>
        <v>345.71694170753534</v>
      </c>
      <c r="CZ15" s="60">
        <f t="shared" si="42"/>
        <v>154.08406475869634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296.73306974060051</v>
      </c>
      <c r="S16" s="60">
        <f ca="1">AVERAGE(OFFSET($R$3,0,0,'Données projet'!$E$9+1,1))-AVERAGE(OFFSET($H$3,0,0,'Données projet'!$E$9+1,1))</f>
        <v>430.21146937947236</v>
      </c>
      <c r="T16" s="60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10.803549648973275</v>
      </c>
      <c r="AK16" s="14">
        <f t="shared" si="35"/>
        <v>3.77408258858951</v>
      </c>
      <c r="AL16" s="22">
        <f t="shared" si="4"/>
        <v>25.389376147088512</v>
      </c>
      <c r="AM16" s="60">
        <f t="shared" si="5"/>
        <v>297.94493170264406</v>
      </c>
      <c r="AN16" s="60">
        <f ca="1">AVERAGE(OFFSET($AM$3,0,0,'Données projet'!$E$10+1,1))-AVERAGE(OFFSET($H$3,0,0,'Données projet'!$E$10+1,1))</f>
        <v>370.04285308422544</v>
      </c>
      <c r="AO16" s="60">
        <f t="shared" si="36"/>
        <v>218.53758068502731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66.096000000000004</v>
      </c>
      <c r="BB16" s="13">
        <f>VLOOKUP(A16,'Données projet'!$A$87:$I$107,9,0)</f>
        <v>17.433500000000002</v>
      </c>
      <c r="BC16" s="13">
        <f t="array" ref="BC16">INDEX(BB:BB,MIN(IF(ISNUMBER(BB16:BB212),ROW(BB16:BB212),"")))</f>
        <v>17.433500000000002</v>
      </c>
      <c r="BD16" s="13">
        <f>IF('Données projet'!$A$88&gt;35,BD15+BC16-BL15,IF(A16&lt;'Données projet'!$A$88,$BA$205^A16,IF(A16='Données projet'!$A$88,'Données projet'!$B$88,BD15+BC16-BL15)))</f>
        <v>66.096000000000004</v>
      </c>
      <c r="BE16" s="14">
        <f>BD16*VLOOKUP('Données projet'!$B$11,Paramètres!$A$1:$I$89,3,0)*VLOOKUP('Données projet'!$B$11,Paramètres!$A$1:$I$89,5,0)</f>
        <v>39.525408000000006</v>
      </c>
      <c r="BF16" s="14">
        <f t="shared" si="37"/>
        <v>11.872768996466366</v>
      </c>
      <c r="BG16" s="22">
        <f t="shared" si="7"/>
        <v>89.518491602178926</v>
      </c>
      <c r="BH16" s="60">
        <f t="shared" si="8"/>
        <v>362.07404715773447</v>
      </c>
      <c r="BI16" s="60">
        <f ca="1">AVERAGE(OFFSET($BH$3,0,0,'Données projet'!$E$11+1,1))-AVERAGE(OFFSET($H$3,0,0,'Données projet'!$E$11+1,1))</f>
        <v>225.82185458224626</v>
      </c>
      <c r="BJ16" s="60">
        <f t="shared" si="38"/>
        <v>363.02009369315243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6.3106884697991985</v>
      </c>
      <c r="CA16" s="14">
        <f t="shared" si="39"/>
        <v>2.346928580158357</v>
      </c>
      <c r="CB16" s="22">
        <f t="shared" si="10"/>
        <v>15.078683028676075</v>
      </c>
      <c r="CC16" s="60">
        <f t="shared" si="11"/>
        <v>287.63423858423164</v>
      </c>
      <c r="CD16" s="60">
        <f ca="1">AVERAGE(OFFSET($CC$3,0,0,'Données projet'!$E$12+1,1))-AVERAGE(OFFSET($H$3,0,0,'Données projet'!$E$12+1,1))</f>
        <v>380.16582491288449</v>
      </c>
      <c r="CE16" s="60">
        <f t="shared" si="40"/>
        <v>166.97658184507776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5.6704736975007304</v>
      </c>
      <c r="CV16" s="14">
        <f t="shared" si="41"/>
        <v>2.1352568017564701</v>
      </c>
      <c r="CW16" s="22">
        <f t="shared" si="13"/>
        <v>13.594980619539625</v>
      </c>
      <c r="CX16" s="60">
        <f t="shared" si="14"/>
        <v>286.15053617509517</v>
      </c>
      <c r="CY16" s="60">
        <f ca="1">AVERAGE(OFFSET($CX$3,0,0,'Données projet'!$E$13+1,1))-AVERAGE(OFFSET($H$3,0,0,'Données projet'!$E$13+1,1))</f>
        <v>345.71694170753534</v>
      </c>
      <c r="CZ16" s="60">
        <f t="shared" si="42"/>
        <v>154.08406475869634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302.76037439017989</v>
      </c>
      <c r="S17" s="60">
        <f ca="1">AVERAGE(OFFSET($R$3,0,0,'Données projet'!$E$9+1,1))-AVERAGE(OFFSET($H$3,0,0,'Données projet'!$E$9+1,1))</f>
        <v>430.21146937947236</v>
      </c>
      <c r="T17" s="60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13.023536653196853</v>
      </c>
      <c r="AK17" s="14">
        <f t="shared" si="35"/>
        <v>4.4517068035990768</v>
      </c>
      <c r="AL17" s="22">
        <f t="shared" si="4"/>
        <v>30.436049020586243</v>
      </c>
      <c r="AM17" s="60">
        <f t="shared" si="5"/>
        <v>304.21382679836404</v>
      </c>
      <c r="AN17" s="60">
        <f ca="1">AVERAGE(OFFSET($AM$3,0,0,'Données projet'!$E$10+1,1))-AVERAGE(OFFSET($H$3,0,0,'Données projet'!$E$10+1,1))</f>
        <v>370.04285308422544</v>
      </c>
      <c r="AO17" s="60">
        <f t="shared" si="36"/>
        <v>218.53758068502731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85.756500000000003</v>
      </c>
      <c r="BB17" s="13">
        <f>VLOOKUP(A17,'Données projet'!$A$87:$I$107,9,0)</f>
        <v>19.660499999999999</v>
      </c>
      <c r="BC17" s="13">
        <f t="array" ref="BC17">INDEX(BB:BB,MIN(IF(ISNUMBER(BB17:BB213),ROW(BB17:BB213),"")))</f>
        <v>19.660499999999999</v>
      </c>
      <c r="BD17" s="13">
        <f>IF('Données projet'!$A$88&gt;35,BD16+BC17-BL16,IF(A17&lt;'Données projet'!$A$88,$BA$205^A17,IF(A17='Données projet'!$A$88,'Données projet'!$B$88,BD16+BC17-BL16)))</f>
        <v>85.756500000000003</v>
      </c>
      <c r="BE17" s="14">
        <f>BD17*VLOOKUP('Données projet'!$B$11,Paramètres!$A$1:$I$89,3,0)*VLOOKUP('Données projet'!$B$11,Paramètres!$A$1:$I$89,5,0)</f>
        <v>51.282387000000007</v>
      </c>
      <c r="BF17" s="14">
        <f t="shared" si="37"/>
        <v>14.944451998773655</v>
      </c>
      <c r="BG17" s="22">
        <f t="shared" si="7"/>
        <v>115.34507792286411</v>
      </c>
      <c r="BH17" s="60">
        <f t="shared" si="8"/>
        <v>389.12285570064188</v>
      </c>
      <c r="BI17" s="60">
        <f ca="1">AVERAGE(OFFSET($BH$3,0,0,'Données projet'!$E$11+1,1))-AVERAGE(OFFSET($H$3,0,0,'Données projet'!$E$11+1,1))</f>
        <v>225.82185458224626</v>
      </c>
      <c r="BJ17" s="60">
        <f t="shared" si="38"/>
        <v>363.02009369315243</v>
      </c>
      <c r="BK17" s="16">
        <f>IF(ISNA(VLOOKUP(A17,'Données projet'!$A$87:$I$107,3,0)),0,VLOOKUP(A17,'Données projet'!$A$87:$I$107,3,0))</f>
        <v>1</v>
      </c>
      <c r="BL17" s="16">
        <f>IF(ISNA(VLOOKUP(A17,'Données projet'!$A$87:$I$107,4,0)),0,VLOOKUP(A17,'Données projet'!$A$87:$I$107,4,0))</f>
        <v>22.2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1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15.031063089042348</v>
      </c>
      <c r="BS17" s="24">
        <f t="shared" si="9"/>
        <v>15.031063089042348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7.2303878090247551</v>
      </c>
      <c r="CA17" s="14">
        <f t="shared" si="39"/>
        <v>2.6467154181950132</v>
      </c>
      <c r="CB17" s="22">
        <f t="shared" si="10"/>
        <v>17.202621454074428</v>
      </c>
      <c r="CC17" s="60">
        <f t="shared" si="11"/>
        <v>290.98039923185218</v>
      </c>
      <c r="CD17" s="60">
        <f ca="1">AVERAGE(OFFSET($CC$3,0,0,'Données projet'!$E$12+1,1))-AVERAGE(OFFSET($H$3,0,0,'Données projet'!$E$12+1,1))</f>
        <v>380.16582491288449</v>
      </c>
      <c r="CE17" s="60">
        <f t="shared" si="40"/>
        <v>166.97658184507776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6.4968702052106497</v>
      </c>
      <c r="CV17" s="14">
        <f t="shared" si="41"/>
        <v>2.4080055723865681</v>
      </c>
      <c r="CW17" s="22">
        <f t="shared" si="13"/>
        <v>15.509325312648487</v>
      </c>
      <c r="CX17" s="60">
        <f t="shared" si="14"/>
        <v>289.28710309042629</v>
      </c>
      <c r="CY17" s="60">
        <f ca="1">AVERAGE(OFFSET($CX$3,0,0,'Données projet'!$E$13+1,1))-AVERAGE(OFFSET($H$3,0,0,'Données projet'!$E$13+1,1))</f>
        <v>345.71694170753534</v>
      </c>
      <c r="CZ17" s="60">
        <f t="shared" si="42"/>
        <v>154.08406475869634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309.74578000827665</v>
      </c>
      <c r="S18" s="60">
        <f ca="1">AVERAGE(OFFSET($R$3,0,0,'Données projet'!$E$9+1,1))-AVERAGE(OFFSET($H$3,0,0,'Données projet'!$E$9+1,1))</f>
        <v>430.21146937947236</v>
      </c>
      <c r="T18" s="60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15.699701715471004</v>
      </c>
      <c r="AK18" s="14">
        <f t="shared" si="35"/>
        <v>5.250996235516082</v>
      </c>
      <c r="AL18" s="22">
        <f t="shared" si="4"/>
        <v>36.489132264635835</v>
      </c>
      <c r="AM18" s="60">
        <f t="shared" si="5"/>
        <v>311.48913226463583</v>
      </c>
      <c r="AN18" s="60">
        <f ca="1">AVERAGE(OFFSET($AM$3,0,0,'Données projet'!$E$10+1,1))-AVERAGE(OFFSET($H$3,0,0,'Données projet'!$E$10+1,1))</f>
        <v>370.04285308422544</v>
      </c>
      <c r="AO18" s="60">
        <f t="shared" si="36"/>
        <v>218.53758068502731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79.950999999999993</v>
      </c>
      <c r="BB18" s="13">
        <f>VLOOKUP(A18,'Données projet'!$A$87:$I$107,9,0)</f>
        <v>16.394499999999994</v>
      </c>
      <c r="BC18" s="13">
        <f t="array" ref="BC18">INDEX(BB:BB,MIN(IF(ISNUMBER(BB18:BB214),ROW(BB18:BB214),"")))</f>
        <v>16.394499999999994</v>
      </c>
      <c r="BD18" s="13">
        <f>IF('Données projet'!$A$88&gt;35,BD17+BC18-BL17,IF(A18&lt;'Données projet'!$A$88,$BA$205^A18,IF(A18='Données projet'!$A$88,'Données projet'!$B$88,BD17+BC18-BL17)))</f>
        <v>79.950999999999993</v>
      </c>
      <c r="BE18" s="14">
        <f>BD18*VLOOKUP('Données projet'!$B$11,Paramètres!$A$1:$I$89,3,0)*VLOOKUP('Données projet'!$B$11,Paramètres!$A$1:$I$89,5,0)</f>
        <v>47.810698000000002</v>
      </c>
      <c r="BF18" s="14">
        <f t="shared" si="37"/>
        <v>14.046898010995823</v>
      </c>
      <c r="BG18" s="22">
        <f t="shared" si="7"/>
        <v>107.7353130524844</v>
      </c>
      <c r="BH18" s="60">
        <f t="shared" si="8"/>
        <v>382.7353130524844</v>
      </c>
      <c r="BI18" s="60">
        <f ca="1">AVERAGE(OFFSET($BH$3,0,0,'Données projet'!$E$11+1,1))-AVERAGE(OFFSET($H$3,0,0,'Données projet'!$E$11+1,1))</f>
        <v>225.82185458224626</v>
      </c>
      <c r="BJ18" s="60">
        <f t="shared" si="38"/>
        <v>363.02009369315243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10.62856663870466</v>
      </c>
      <c r="BS18" s="24">
        <f t="shared" si="9"/>
        <v>10.62856663870466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8.284121157157557</v>
      </c>
      <c r="CA18" s="14">
        <f t="shared" si="39"/>
        <v>2.9847957727109624</v>
      </c>
      <c r="CB18" s="22">
        <f t="shared" si="10"/>
        <v>19.626696986187671</v>
      </c>
      <c r="CC18" s="60">
        <f t="shared" si="11"/>
        <v>294.62669698618765</v>
      </c>
      <c r="CD18" s="60">
        <f ca="1">AVERAGE(OFFSET($CC$3,0,0,'Données projet'!$E$12+1,1))-AVERAGE(OFFSET($H$3,0,0,'Données projet'!$E$12+1,1))</f>
        <v>380.16582491288449</v>
      </c>
      <c r="CE18" s="60">
        <f t="shared" si="40"/>
        <v>166.97658184507776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7.4437030687502697</v>
      </c>
      <c r="CV18" s="14">
        <f t="shared" si="41"/>
        <v>2.7155941298840056</v>
      </c>
      <c r="CW18" s="22">
        <f t="shared" si="13"/>
        <v>17.694109287621362</v>
      </c>
      <c r="CX18" s="60">
        <f t="shared" si="14"/>
        <v>292.69410928762136</v>
      </c>
      <c r="CY18" s="60">
        <f ca="1">AVERAGE(OFFSET($CX$3,0,0,'Données projet'!$E$13+1,1))-AVERAGE(OFFSET($H$3,0,0,'Données projet'!$E$13+1,1))</f>
        <v>345.71694170753534</v>
      </c>
      <c r="CZ18" s="60">
        <f t="shared" si="42"/>
        <v>154.08406475869634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317.88090656215792</v>
      </c>
      <c r="S19" s="60">
        <f ca="1">AVERAGE(OFFSET($R$3,0,0,'Données projet'!$E$9+1,1))-AVERAGE(OFFSET($H$3,0,0,'Données projet'!$E$9+1,1))</f>
        <v>430.21146937947236</v>
      </c>
      <c r="T19" s="60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18.925783411855349</v>
      </c>
      <c r="AK19" s="14">
        <f t="shared" si="35"/>
        <v>6.1937954770768169</v>
      </c>
      <c r="AL19" s="22">
        <f t="shared" si="4"/>
        <v>43.749933231556859</v>
      </c>
      <c r="AM19" s="60">
        <f t="shared" si="5"/>
        <v>319.97215545377907</v>
      </c>
      <c r="AN19" s="60">
        <f ca="1">AVERAGE(OFFSET($AM$3,0,0,'Données projet'!$E$10+1,1))-AVERAGE(OFFSET($H$3,0,0,'Données projet'!$E$10+1,1))</f>
        <v>370.04285308422544</v>
      </c>
      <c r="AO19" s="60">
        <f t="shared" si="36"/>
        <v>218.53758068502731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90.686499999999995</v>
      </c>
      <c r="BB19" s="13">
        <f>VLOOKUP(A19,'Données projet'!$A$87:$I$107,9,0)</f>
        <v>10.735500000000002</v>
      </c>
      <c r="BC19" s="13">
        <f t="array" ref="BC19">INDEX(BB:BB,MIN(IF(ISNUMBER(BB19:BB215),ROW(BB19:BB215),"")))</f>
        <v>10.735500000000002</v>
      </c>
      <c r="BD19" s="13">
        <f>IF('Données projet'!$A$88&gt;35,BD18+BC19-BL18,IF(A19&lt;'Données projet'!$A$88,$BA$205^A19,IF(A19='Données projet'!$A$88,'Données projet'!$B$88,BD18+BC19-BL18)))</f>
        <v>90.686499999999995</v>
      </c>
      <c r="BE19" s="14">
        <f>BD19*VLOOKUP('Données projet'!$B$11,Paramètres!$A$1:$I$89,3,0)*VLOOKUP('Données projet'!$B$11,Paramètres!$A$1:$I$89,5,0)</f>
        <v>54.230527000000002</v>
      </c>
      <c r="BF19" s="14">
        <f t="shared" si="37"/>
        <v>15.701093813174976</v>
      </c>
      <c r="BG19" s="22">
        <f t="shared" si="7"/>
        <v>121.79757291627975</v>
      </c>
      <c r="BH19" s="60">
        <f t="shared" si="8"/>
        <v>398.01979513850199</v>
      </c>
      <c r="BI19" s="60">
        <f ca="1">AVERAGE(OFFSET($BH$3,0,0,'Données projet'!$E$11+1,1))-AVERAGE(OFFSET($H$3,0,0,'Données projet'!$E$11+1,1))</f>
        <v>225.82185458224626</v>
      </c>
      <c r="BJ19" s="60">
        <f t="shared" si="38"/>
        <v>363.02009369315243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7.5155315445211759</v>
      </c>
      <c r="BS19" s="24">
        <f t="shared" si="9"/>
        <v>7.5155315445211759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9.4914221974107242</v>
      </c>
      <c r="CA19" s="14">
        <f t="shared" si="39"/>
        <v>3.3660610972935361</v>
      </c>
      <c r="CB19" s="22">
        <f t="shared" si="10"/>
        <v>22.393450071609919</v>
      </c>
      <c r="CC19" s="60">
        <f t="shared" si="11"/>
        <v>298.61567229383218</v>
      </c>
      <c r="CD19" s="60">
        <f ca="1">AVERAGE(OFFSET($CC$3,0,0,'Données projet'!$E$12+1,1))-AVERAGE(OFFSET($H$3,0,0,'Données projet'!$E$12+1,1))</f>
        <v>380.16582491288449</v>
      </c>
      <c r="CE19" s="60">
        <f t="shared" si="40"/>
        <v>166.97658184507776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8.528524293325578</v>
      </c>
      <c r="CV19" s="14">
        <f t="shared" si="41"/>
        <v>3.0624727628647754</v>
      </c>
      <c r="CW19" s="22">
        <f t="shared" si="13"/>
        <v>20.187653206198199</v>
      </c>
      <c r="CX19" s="60">
        <f t="shared" si="14"/>
        <v>296.40987542842043</v>
      </c>
      <c r="CY19" s="60">
        <f ca="1">AVERAGE(OFFSET($CX$3,0,0,'Données projet'!$E$13+1,1))-AVERAGE(OFFSET($H$3,0,0,'Données projet'!$E$13+1,1))</f>
        <v>345.71694170753534</v>
      </c>
      <c r="CZ19" s="60">
        <f t="shared" si="42"/>
        <v>154.08406475869634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327.39580549186149</v>
      </c>
      <c r="S20" s="60">
        <f ca="1">AVERAGE(OFFSET($R$3,0,0,'Données projet'!$E$9+1,1))-AVERAGE(OFFSET($H$3,0,0,'Données projet'!$E$9+1,1))</f>
        <v>430.21146937947236</v>
      </c>
      <c r="T20" s="60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22.814782359813346</v>
      </c>
      <c r="AK20" s="14">
        <f t="shared" si="35"/>
        <v>7.3058712463706073</v>
      </c>
      <c r="AL20" s="22">
        <f t="shared" si="4"/>
        <v>52.46013836410372</v>
      </c>
      <c r="AM20" s="60">
        <f t="shared" si="5"/>
        <v>329.90458280854818</v>
      </c>
      <c r="AN20" s="60">
        <f ca="1">AVERAGE(OFFSET($AM$3,0,0,'Données projet'!$E$10+1,1))-AVERAGE(OFFSET($H$3,0,0,'Données projet'!$E$10+1,1))</f>
        <v>370.04285308422544</v>
      </c>
      <c r="AO20" s="60">
        <f t="shared" si="36"/>
        <v>218.53758068502731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103.054</v>
      </c>
      <c r="BB20" s="13">
        <f>VLOOKUP(A20,'Données projet'!$A$87:$I$107,9,0)</f>
        <v>12.367500000000007</v>
      </c>
      <c r="BC20" s="13">
        <f t="array" ref="BC20">INDEX(BB:BB,MIN(IF(ISNUMBER(BB20:BB216),ROW(BB20:BB216),"")))</f>
        <v>12.367500000000007</v>
      </c>
      <c r="BD20" s="13">
        <f>IF('Données projet'!$A$88&gt;35,BD19+BC20-BL19,IF(A20&lt;'Données projet'!$A$88,$BA$205^A20,IF(A20='Données projet'!$A$88,'Données projet'!$B$88,BD19+BC20-BL19)))</f>
        <v>103.054</v>
      </c>
      <c r="BE20" s="14">
        <f>BD20*VLOOKUP('Données projet'!$B$11,Paramètres!$A$1:$I$89,3,0)*VLOOKUP('Données projet'!$B$11,Paramètres!$A$1:$I$89,5,0)</f>
        <v>61.626291999999999</v>
      </c>
      <c r="BF20" s="14">
        <f t="shared" si="37"/>
        <v>17.578804471187219</v>
      </c>
      <c r="BG20" s="22">
        <f t="shared" si="7"/>
        <v>137.94887635398439</v>
      </c>
      <c r="BH20" s="60">
        <f t="shared" si="8"/>
        <v>415.39332079842882</v>
      </c>
      <c r="BI20" s="60">
        <f ca="1">AVERAGE(OFFSET($BH$3,0,0,'Données projet'!$E$11+1,1))-AVERAGE(OFFSET($H$3,0,0,'Données projet'!$E$11+1,1))</f>
        <v>225.82185458224626</v>
      </c>
      <c r="BJ20" s="60">
        <f t="shared" si="38"/>
        <v>363.02009369315243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5.3142833193523309</v>
      </c>
      <c r="BS20" s="24">
        <f t="shared" si="9"/>
        <v>5.3142833193523309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10.874671388849128</v>
      </c>
      <c r="CA20" s="14">
        <f t="shared" si="39"/>
        <v>3.7960276593470508</v>
      </c>
      <c r="CB20" s="22">
        <f t="shared" si="10"/>
        <v>25.551467508941673</v>
      </c>
      <c r="CC20" s="60">
        <f t="shared" si="11"/>
        <v>302.99591195338616</v>
      </c>
      <c r="CD20" s="60">
        <f ca="1">AVERAGE(OFFSET($CC$3,0,0,'Données projet'!$E$12+1,1))-AVERAGE(OFFSET($H$3,0,0,'Données projet'!$E$12+1,1))</f>
        <v>380.16582491288449</v>
      </c>
      <c r="CE20" s="60">
        <f t="shared" si="40"/>
        <v>166.97658184507776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9.7714438566470445</v>
      </c>
      <c r="CV20" s="14">
        <f t="shared" si="41"/>
        <v>3.4536602211941068</v>
      </c>
      <c r="CW20" s="22">
        <f t="shared" si="13"/>
        <v>23.033722935573341</v>
      </c>
      <c r="CX20" s="60">
        <f t="shared" si="14"/>
        <v>300.47816738001779</v>
      </c>
      <c r="CY20" s="60">
        <f ca="1">AVERAGE(OFFSET($CX$3,0,0,'Données projet'!$E$13+1,1))-AVERAGE(OFFSET($H$3,0,0,'Données projet'!$E$13+1,1))</f>
        <v>345.71694170753534</v>
      </c>
      <c r="CZ20" s="60">
        <f t="shared" si="42"/>
        <v>154.08406475869634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338.56668739624723</v>
      </c>
      <c r="S21" s="60">
        <f ca="1">AVERAGE(OFFSET($R$3,0,0,'Données projet'!$E$9+1,1))-AVERAGE(OFFSET($H$3,0,0,'Données projet'!$E$9+1,1))</f>
        <v>430.21146937947236</v>
      </c>
      <c r="T21" s="60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27.502919313743888</v>
      </c>
      <c r="AK21" s="14">
        <f t="shared" si="35"/>
        <v>8.6176165916501422</v>
      </c>
      <c r="AL21" s="22">
        <f t="shared" si="4"/>
        <v>62.909933368561269</v>
      </c>
      <c r="AM21" s="60">
        <f t="shared" si="5"/>
        <v>341.57660003522795</v>
      </c>
      <c r="AN21" s="60">
        <f ca="1">AVERAGE(OFFSET($AM$3,0,0,'Données projet'!$E$10+1,1))-AVERAGE(OFFSET($H$3,0,0,'Données projet'!$E$10+1,1))</f>
        <v>370.04285308422544</v>
      </c>
      <c r="AO21" s="60">
        <f t="shared" si="36"/>
        <v>218.53758068502731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116.78149999999999</v>
      </c>
      <c r="BB21" s="13">
        <f>VLOOKUP(A21,'Données projet'!$A$87:$I$107,9,0)</f>
        <v>13.727499999999992</v>
      </c>
      <c r="BC21" s="13">
        <f t="array" ref="BC21">INDEX(BB:BB,MIN(IF(ISNUMBER(BB21:BB217),ROW(BB21:BB217),"")))</f>
        <v>13.727499999999992</v>
      </c>
      <c r="BD21" s="13">
        <f>IF('Données projet'!$A$88&gt;35,BD20+BC21-BL20,IF(A21&lt;'Données projet'!$A$88,$BA$205^A21,IF(A21='Données projet'!$A$88,'Données projet'!$B$88,BD20+BC21-BL20)))</f>
        <v>116.78149999999999</v>
      </c>
      <c r="BE21" s="14">
        <f>BD21*VLOOKUP('Données projet'!$B$11,Paramètres!$A$1:$I$89,3,0)*VLOOKUP('Données projet'!$B$11,Paramètres!$A$1:$I$89,5,0)</f>
        <v>69.83533700000001</v>
      </c>
      <c r="BF21" s="14">
        <f t="shared" si="37"/>
        <v>19.632560341829297</v>
      </c>
      <c r="BG21" s="22">
        <f t="shared" si="7"/>
        <v>155.82325453701938</v>
      </c>
      <c r="BH21" s="60">
        <f t="shared" si="8"/>
        <v>434.48992120368609</v>
      </c>
      <c r="BI21" s="60">
        <f ca="1">AVERAGE(OFFSET($BH$3,0,0,'Données projet'!$E$11+1,1))-AVERAGE(OFFSET($H$3,0,0,'Données projet'!$E$11+1,1))</f>
        <v>225.82185458224626</v>
      </c>
      <c r="BJ21" s="60">
        <f t="shared" si="38"/>
        <v>363.02009369315243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3.7577657722605884</v>
      </c>
      <c r="BS21" s="24">
        <f t="shared" si="9"/>
        <v>3.7577657722605884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12.459510846300249</v>
      </c>
      <c r="CA21" s="14">
        <f t="shared" si="39"/>
        <v>4.2809163511957635</v>
      </c>
      <c r="CB21" s="22">
        <f t="shared" si="10"/>
        <v>29.156244035638881</v>
      </c>
      <c r="CC21" s="60">
        <f t="shared" si="11"/>
        <v>307.82291070230559</v>
      </c>
      <c r="CD21" s="60">
        <f ca="1">AVERAGE(OFFSET($CC$3,0,0,'Données projet'!$E$12+1,1))-AVERAGE(OFFSET($H$3,0,0,'Données projet'!$E$12+1,1))</f>
        <v>380.16582491288449</v>
      </c>
      <c r="CE21" s="60">
        <f t="shared" si="40"/>
        <v>166.97658184507776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11.195502499574138</v>
      </c>
      <c r="CV21" s="14">
        <f t="shared" si="41"/>
        <v>3.8948163288481799</v>
      </c>
      <c r="CW21" s="22">
        <f t="shared" si="13"/>
        <v>26.282305292835535</v>
      </c>
      <c r="CX21" s="60">
        <f t="shared" si="14"/>
        <v>304.94897195950222</v>
      </c>
      <c r="CY21" s="60">
        <f ca="1">AVERAGE(OFFSET($CX$3,0,0,'Données projet'!$E$13+1,1))-AVERAGE(OFFSET($H$3,0,0,'Données projet'!$E$13+1,1))</f>
        <v>345.71694170753534</v>
      </c>
      <c r="CZ21" s="60">
        <f t="shared" si="42"/>
        <v>154.08406475869634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351.72520722798015</v>
      </c>
      <c r="S22" s="60">
        <f ca="1">AVERAGE(OFFSET($R$3,0,0,'Données projet'!$E$9+1,1))-AVERAGE(OFFSET($H$3,0,0,'Données projet'!$E$9+1,1))</f>
        <v>430.21146937947236</v>
      </c>
      <c r="T22" s="60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33.154406596955802</v>
      </c>
      <c r="AK22" s="14">
        <f t="shared" si="35"/>
        <v>10.16488153381791</v>
      </c>
      <c r="AL22" s="22">
        <f t="shared" si="4"/>
        <v>75.447760161097548</v>
      </c>
      <c r="AM22" s="60">
        <f t="shared" si="5"/>
        <v>355.33664904998642</v>
      </c>
      <c r="AN22" s="60">
        <f ca="1">AVERAGE(OFFSET($AM$3,0,0,'Données projet'!$E$10+1,1))-AVERAGE(OFFSET($H$3,0,0,'Données projet'!$E$10+1,1))</f>
        <v>370.04285308422544</v>
      </c>
      <c r="AO22" s="60">
        <f t="shared" si="36"/>
        <v>218.53758068502731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134.41899999999998</v>
      </c>
      <c r="BB22" s="13">
        <f>VLOOKUP(A22,'Données projet'!$A$87:$I$107,9,0)</f>
        <v>17.637499999999989</v>
      </c>
      <c r="BC22" s="13">
        <f t="array" ref="BC22">INDEX(BB:BB,MIN(IF(ISNUMBER(BB22:BB218),ROW(BB22:BB218),"")))</f>
        <v>17.637499999999989</v>
      </c>
      <c r="BD22" s="13">
        <f>IF('Données projet'!$A$88&gt;35,BD21+BC22-BL21,IF(A22&lt;'Données projet'!$A$88,$BA$205^A22,IF(A22='Données projet'!$A$88,'Données projet'!$B$88,BD21+BC22-BL21)))</f>
        <v>134.41899999999998</v>
      </c>
      <c r="BE22" s="14">
        <f>BD22*VLOOKUP('Données projet'!$B$11,Paramètres!$A$1:$I$89,3,0)*VLOOKUP('Données projet'!$B$11,Paramètres!$A$1:$I$89,5,0)</f>
        <v>80.382561999999993</v>
      </c>
      <c r="BF22" s="14">
        <f t="shared" si="37"/>
        <v>22.230696539664962</v>
      </c>
      <c r="BG22" s="22">
        <f t="shared" si="7"/>
        <v>178.71809195658315</v>
      </c>
      <c r="BH22" s="60">
        <f t="shared" si="8"/>
        <v>458.60698084547198</v>
      </c>
      <c r="BI22" s="60">
        <f ca="1">AVERAGE(OFFSET($BH$3,0,0,'Données projet'!$E$11+1,1))-AVERAGE(OFFSET($H$3,0,0,'Données projet'!$E$11+1,1))</f>
        <v>225.82185458224626</v>
      </c>
      <c r="BJ22" s="60">
        <f t="shared" si="38"/>
        <v>363.02009369315243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34.090000000000003</v>
      </c>
      <c r="BM22" s="17">
        <f>IF(ISNA(VLOOKUP(A22,'Données projet'!$A$87:$I$107,5,0)),0%,VLOOKUP(A22,'Données projet'!$A$87:$I$107,5,0)*VLOOKUP('Données projet'!$B$11,Paramètres!$A$1:$I$89,7,0))</f>
        <v>0.1125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0.75</v>
      </c>
      <c r="BP22" s="23">
        <f>EXP(-LN(2)/35)*BP21+(1-EXP(-LN(2)/35))/(LN(2)/35)*BL22*BM22*VLOOKUP('Données projet'!$B$11,Paramètres!$A$1:$I$89,3,0)*0.475*44/12</f>
        <v>3.0423492232862053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19.9682545213469</v>
      </c>
      <c r="BS22" s="24">
        <f t="shared" si="9"/>
        <v>23.010603744633105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14.275319683522188</v>
      </c>
      <c r="CA22" s="14">
        <f t="shared" si="39"/>
        <v>4.8277426959232219</v>
      </c>
      <c r="CB22" s="22">
        <f t="shared" si="10"/>
        <v>33.271166977534087</v>
      </c>
      <c r="CC22" s="60">
        <f t="shared" si="11"/>
        <v>313.16005586642297</v>
      </c>
      <c r="CD22" s="60">
        <f ca="1">AVERAGE(OFFSET($CC$3,0,0,'Données projet'!$E$12+1,1))-AVERAGE(OFFSET($H$3,0,0,'Données projet'!$E$12+1,1))</f>
        <v>380.16582491288449</v>
      </c>
      <c r="CE22" s="60">
        <f t="shared" si="40"/>
        <v>166.97658184507776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12.827098846063416</v>
      </c>
      <c r="CV22" s="14">
        <f t="shared" si="41"/>
        <v>4.3923238720390128</v>
      </c>
      <c r="CW22" s="22">
        <f t="shared" si="13"/>
        <v>29.990494567361733</v>
      </c>
      <c r="CX22" s="60">
        <f t="shared" si="14"/>
        <v>309.87938345625059</v>
      </c>
      <c r="CY22" s="60">
        <f ca="1">AVERAGE(OFFSET($CX$3,0,0,'Données projet'!$E$13+1,1))-AVERAGE(OFFSET($H$3,0,0,'Données projet'!$E$13+1,1))</f>
        <v>345.71694170753534</v>
      </c>
      <c r="CZ22" s="60">
        <f t="shared" si="42"/>
        <v>154.08406475869634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367.26962158162712</v>
      </c>
      <c r="S23" s="60">
        <f ca="1">AVERAGE(OFFSET($R$3,0,0,'Données projet'!$E$9+1,1))-AVERAGE(OFFSET($H$3,0,0,'Données projet'!$E$9+1,1))</f>
        <v>430.21146937947236</v>
      </c>
      <c r="T23" s="60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39.967200000000005</v>
      </c>
      <c r="AK23" s="14">
        <f t="shared" si="35"/>
        <v>11.989952848060872</v>
      </c>
      <c r="AL23" s="22">
        <f t="shared" si="4"/>
        <v>90.49204121037269</v>
      </c>
      <c r="AM23" s="60">
        <f t="shared" si="5"/>
        <v>371.60315232148383</v>
      </c>
      <c r="AN23" s="60">
        <f ca="1">AVERAGE(OFFSET($AM$3,0,0,'Données projet'!$E$10+1,1))-AVERAGE(OFFSET($H$3,0,0,'Données projet'!$E$10+1,1))</f>
        <v>370.04285308422544</v>
      </c>
      <c r="AO23" s="60">
        <f t="shared" si="36"/>
        <v>218.53758068502731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116.926</v>
      </c>
      <c r="BB23" s="13">
        <f>VLOOKUP(A23,'Données projet'!$A$87:$I$107,9,0)</f>
        <v>16.597000000000023</v>
      </c>
      <c r="BC23" s="13">
        <f t="array" ref="BC23">INDEX(BB:BB,MIN(IF(ISNUMBER(BB23:BB219),ROW(BB23:BB219),"")))</f>
        <v>16.597000000000023</v>
      </c>
      <c r="BD23" s="13">
        <f>IF('Données projet'!$A$88&gt;35,BD22+BC23-BL22,IF(A23&lt;'Données projet'!$A$88,$BA$205^A23,IF(A23='Données projet'!$A$88,'Données projet'!$B$88,BD22+BC23-BL22)))</f>
        <v>116.92600000000002</v>
      </c>
      <c r="BE23" s="14">
        <f>BD23*VLOOKUP('Données projet'!$B$11,Paramètres!$A$1:$I$89,3,0)*VLOOKUP('Données projet'!$B$11,Paramètres!$A$1:$I$89,5,0)</f>
        <v>69.921748000000022</v>
      </c>
      <c r="BF23" s="14">
        <f t="shared" si="37"/>
        <v>19.654023576993847</v>
      </c>
      <c r="BG23" s="22">
        <f t="shared" si="7"/>
        <v>156.01113549659763</v>
      </c>
      <c r="BH23" s="60">
        <f t="shared" si="8"/>
        <v>437.1222466077088</v>
      </c>
      <c r="BI23" s="60">
        <f ca="1">AVERAGE(OFFSET($BH$3,0,0,'Données projet'!$E$11+1,1))-AVERAGE(OFFSET($H$3,0,0,'Données projet'!$E$11+1,1))</f>
        <v>225.82185458224626</v>
      </c>
      <c r="BJ23" s="60">
        <f t="shared" si="38"/>
        <v>363.02009369315243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2.9826906106673587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14.119688180503331</v>
      </c>
      <c r="BS23" s="24">
        <f t="shared" si="9"/>
        <v>17.10237879117069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16.355758631348532</v>
      </c>
      <c r="CA23" s="14">
        <f t="shared" si="39"/>
        <v>5.4444183501809773</v>
      </c>
      <c r="CB23" s="22">
        <f t="shared" si="10"/>
        <v>37.968641576163897</v>
      </c>
      <c r="CC23" s="60">
        <f t="shared" si="11"/>
        <v>319.07975268727506</v>
      </c>
      <c r="CD23" s="60">
        <f ca="1">AVERAGE(OFFSET($CC$3,0,0,'Données projet'!$E$12+1,1))-AVERAGE(OFFSET($H$3,0,0,'Données projet'!$E$12+1,1))</f>
        <v>380.16582491288449</v>
      </c>
      <c r="CE23" s="60">
        <f t="shared" si="40"/>
        <v>166.97658184507776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14.696478770197235</v>
      </c>
      <c r="CV23" s="14">
        <f t="shared" si="41"/>
        <v>4.9533809473858224</v>
      </c>
      <c r="CW23" s="22">
        <f t="shared" si="13"/>
        <v>34.223505674790481</v>
      </c>
      <c r="CX23" s="60">
        <f t="shared" si="14"/>
        <v>315.33461678590163</v>
      </c>
      <c r="CY23" s="60">
        <f ca="1">AVERAGE(OFFSET($CX$3,0,0,'Données projet'!$E$13+1,1))-AVERAGE(OFFSET($H$3,0,0,'Données projet'!$E$13+1,1))</f>
        <v>345.71694170753534</v>
      </c>
      <c r="CZ23" s="60">
        <f t="shared" si="42"/>
        <v>154.08406475869634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379.65226125630295</v>
      </c>
      <c r="S24" s="60">
        <f ca="1">AVERAGE(OFFSET($R$3,0,0,'Données projet'!$E$9+1,1))-AVERAGE(OFFSET($H$3,0,0,'Données projet'!$E$9+1,1))</f>
        <v>430.21146937947236</v>
      </c>
      <c r="T24" s="60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5.8</v>
      </c>
      <c r="AI24" s="14">
        <f>IF('Données projet'!$A$62&gt;35,AI23+AH24-AQ23,IF(A24&lt;'Données projet'!$A$62,$AF$205^A24,IF(A24='Données projet'!$A$62,'Données projet'!$B$62,AI23+AH24-AQ23)))</f>
        <v>47.8</v>
      </c>
      <c r="AJ24" s="14">
        <f>AI24*VLOOKUP('Données projet'!$B$10,Paramètres!$A$1:$I$89,3,0)*VLOOKUP('Données projet'!$B$10,Paramètres!$A$1:$I$89,5,0)</f>
        <v>45.48648</v>
      </c>
      <c r="AK24" s="14">
        <f t="shared" si="35"/>
        <v>13.441783360032177</v>
      </c>
      <c r="AL24" s="22">
        <f t="shared" si="4"/>
        <v>102.6333920187227</v>
      </c>
      <c r="AM24" s="60">
        <f t="shared" si="5"/>
        <v>384.96672535205602</v>
      </c>
      <c r="AN24" s="60">
        <f ca="1">AVERAGE(OFFSET($AM$3,0,0,'Données projet'!$E$10+1,1))-AVERAGE(OFFSET($H$3,0,0,'Données projet'!$E$10+1,1))</f>
        <v>370.04285308422544</v>
      </c>
      <c r="AO24" s="60">
        <f t="shared" si="36"/>
        <v>218.53758068502731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134.99699999999999</v>
      </c>
      <c r="BB24" s="13">
        <f>VLOOKUP(A24,'Données projet'!$A$87:$I$107,9,0)</f>
        <v>18.070999999999984</v>
      </c>
      <c r="BC24" s="13">
        <f t="array" ref="BC24">INDEX(BB:BB,MIN(IF(ISNUMBER(BB24:BB220),ROW(BB24:BB220),"")))</f>
        <v>18.070999999999984</v>
      </c>
      <c r="BD24" s="13">
        <f>IF('Données projet'!$A$88&gt;35,BD23+BC24-BL23,IF(A24&lt;'Données projet'!$A$88,$BA$205^A24,IF(A24='Données projet'!$A$88,'Données projet'!$B$88,BD23+BC24-BL23)))</f>
        <v>134.99700000000001</v>
      </c>
      <c r="BE24" s="14">
        <f>BD24*VLOOKUP('Données projet'!$B$11,Paramètres!$A$1:$I$89,3,0)*VLOOKUP('Données projet'!$B$11,Paramètres!$A$1:$I$89,5,0)</f>
        <v>80.728206000000014</v>
      </c>
      <c r="BF24" s="14">
        <f t="shared" si="37"/>
        <v>22.315140273766989</v>
      </c>
      <c r="BG24" s="22">
        <f t="shared" si="7"/>
        <v>179.46716142681086</v>
      </c>
      <c r="BH24" s="60">
        <f t="shared" si="8"/>
        <v>461.80049476014415</v>
      </c>
      <c r="BI24" s="60">
        <f ca="1">AVERAGE(OFFSET($BH$3,0,0,'Données projet'!$E$11+1,1))-AVERAGE(OFFSET($H$3,0,0,'Données projet'!$E$11+1,1))</f>
        <v>225.82185458224626</v>
      </c>
      <c r="BJ24" s="60">
        <f t="shared" si="38"/>
        <v>363.02009369315243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2.924201867053807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9.9841272606734517</v>
      </c>
      <c r="BS24" s="24">
        <f t="shared" si="9"/>
        <v>12.908329127727258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18.739394026721261</v>
      </c>
      <c r="CA24" s="14">
        <f t="shared" si="39"/>
        <v>6.1398655725414359</v>
      </c>
      <c r="CB24" s="22">
        <f t="shared" si="10"/>
        <v>43.331377135382525</v>
      </c>
      <c r="CC24" s="60">
        <f t="shared" si="11"/>
        <v>325.66471046871584</v>
      </c>
      <c r="CD24" s="60">
        <f ca="1">AVERAGE(OFFSET($CC$3,0,0,'Données projet'!$E$12+1,1))-AVERAGE(OFFSET($H$3,0,0,'Données projet'!$E$12+1,1))</f>
        <v>380.16582491288449</v>
      </c>
      <c r="CE24" s="60">
        <f t="shared" si="40"/>
        <v>166.97658184507776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16.838296081981426</v>
      </c>
      <c r="CV24" s="14">
        <f t="shared" si="41"/>
        <v>5.5861051062554639</v>
      </c>
      <c r="CW24" s="22">
        <f t="shared" si="13"/>
        <v>39.055832069512576</v>
      </c>
      <c r="CX24" s="60">
        <f t="shared" si="14"/>
        <v>321.38916540284589</v>
      </c>
      <c r="CY24" s="60">
        <f ca="1">AVERAGE(OFFSET($CX$3,0,0,'Données projet'!$E$13+1,1))-AVERAGE(OFFSET($H$3,0,0,'Données projet'!$E$13+1,1))</f>
        <v>345.71694170753534</v>
      </c>
      <c r="CZ24" s="60">
        <f t="shared" si="42"/>
        <v>154.08406475869634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392.00305746847613</v>
      </c>
      <c r="S25" s="60">
        <f ca="1">AVERAGE(OFFSET($R$3,0,0,'Données projet'!$E$9+1,1))-AVERAGE(OFFSET($H$3,0,0,'Données projet'!$E$9+1,1))</f>
        <v>430.21146937947236</v>
      </c>
      <c r="T25" s="60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5.8</v>
      </c>
      <c r="AI25" s="14">
        <f>IF('Données projet'!$A$62&gt;35,AI24+AH25-AQ24,IF(A25&lt;'Données projet'!$A$62,$AF$205^A25,IF(A25='Données projet'!$A$62,'Données projet'!$B$62,AI24+AH25-AQ24)))</f>
        <v>53.599999999999994</v>
      </c>
      <c r="AJ25" s="14">
        <f>AI25*VLOOKUP('Données projet'!$B$10,Paramètres!$A$1:$I$89,3,0)*VLOOKUP('Données projet'!$B$10,Paramètres!$A$1:$I$89,5,0)</f>
        <v>51.005759999999995</v>
      </c>
      <c r="AK25" s="14">
        <f t="shared" si="35"/>
        <v>14.873199740573781</v>
      </c>
      <c r="AL25" s="22">
        <f t="shared" si="4"/>
        <v>114.73918821483265</v>
      </c>
      <c r="AM25" s="60">
        <f t="shared" si="5"/>
        <v>398.29474377038821</v>
      </c>
      <c r="AN25" s="60">
        <f ca="1">AVERAGE(OFFSET($AM$3,0,0,'Données projet'!$E$10+1,1))-AVERAGE(OFFSET($H$3,0,0,'Données projet'!$E$10+1,1))</f>
        <v>370.04285308422544</v>
      </c>
      <c r="AO25" s="60">
        <f t="shared" si="36"/>
        <v>218.53758068502731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153.935</v>
      </c>
      <c r="BB25" s="13">
        <f>VLOOKUP(A25,'Données projet'!$A$87:$I$107,9,0)</f>
        <v>18.938000000000017</v>
      </c>
      <c r="BC25" s="13">
        <f t="array" ref="BC25">INDEX(BB:BB,MIN(IF(ISNUMBER(BB25:BB221),ROW(BB25:BB221),"")))</f>
        <v>18.938000000000017</v>
      </c>
      <c r="BD25" s="13">
        <f>IF('Données projet'!$A$88&gt;35,BD24+BC25-BL24,IF(A25&lt;'Données projet'!$A$88,$BA$205^A25,IF(A25='Données projet'!$A$88,'Données projet'!$B$88,BD24+BC25-BL24)))</f>
        <v>153.93500000000003</v>
      </c>
      <c r="BE25" s="14">
        <f>BD25*VLOOKUP('Données projet'!$B$11,Paramètres!$A$1:$I$89,3,0)*VLOOKUP('Données projet'!$B$11,Paramètres!$A$1:$I$89,5,0)</f>
        <v>92.053130000000024</v>
      </c>
      <c r="BF25" s="14">
        <f t="shared" si="37"/>
        <v>25.059738598655201</v>
      </c>
      <c r="BG25" s="22">
        <f t="shared" si="7"/>
        <v>203.97157947599115</v>
      </c>
      <c r="BH25" s="60">
        <f t="shared" si="8"/>
        <v>487.52713503154666</v>
      </c>
      <c r="BI25" s="60">
        <f ca="1">AVERAGE(OFFSET($BH$3,0,0,'Données projet'!$E$11+1,1))-AVERAGE(OFFSET($H$3,0,0,'Données projet'!$E$11+1,1))</f>
        <v>225.82185458224626</v>
      </c>
      <c r="BJ25" s="60">
        <f t="shared" si="38"/>
        <v>363.02009369315243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2.8668600520279064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7.0598440902516666</v>
      </c>
      <c r="BS25" s="24">
        <f t="shared" si="9"/>
        <v>9.9267041422795721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21.470412739868298</v>
      </c>
      <c r="CA25" s="14">
        <f t="shared" si="39"/>
        <v>6.9241463135591816</v>
      </c>
      <c r="CB25" s="22">
        <f t="shared" si="10"/>
        <v>49.453857018052851</v>
      </c>
      <c r="CC25" s="60">
        <f t="shared" si="11"/>
        <v>333.00941257360842</v>
      </c>
      <c r="CD25" s="60">
        <f ca="1">AVERAGE(OFFSET($CC$3,0,0,'Données projet'!$E$12+1,1))-AVERAGE(OFFSET($H$3,0,0,'Données projet'!$E$12+1,1))</f>
        <v>380.16582491288449</v>
      </c>
      <c r="CE25" s="60">
        <f t="shared" si="40"/>
        <v>166.97658184507776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19.292254925678762</v>
      </c>
      <c r="CV25" s="14">
        <f t="shared" si="41"/>
        <v>6.2996508020651527</v>
      </c>
      <c r="CW25" s="22">
        <f t="shared" si="13"/>
        <v>44.572569142487318</v>
      </c>
      <c r="CX25" s="60">
        <f t="shared" si="14"/>
        <v>328.12812469804288</v>
      </c>
      <c r="CY25" s="60">
        <f ca="1">AVERAGE(OFFSET($CX$3,0,0,'Données projet'!$E$13+1,1))-AVERAGE(OFFSET($H$3,0,0,'Données projet'!$E$13+1,1))</f>
        <v>345.71694170753534</v>
      </c>
      <c r="CZ25" s="60">
        <f t="shared" si="42"/>
        <v>154.08406475869634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404.32574406333623</v>
      </c>
      <c r="S26" s="60">
        <f ca="1">AVERAGE(OFFSET($R$3,0,0,'Données projet'!$E$9+1,1))-AVERAGE(OFFSET($H$3,0,0,'Données projet'!$E$9+1,1))</f>
        <v>430.21146937947236</v>
      </c>
      <c r="T26" s="60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5.8</v>
      </c>
      <c r="AI26" s="14">
        <f>IF('Données projet'!$A$62&gt;35,AI25+AH26-AQ25,IF(A26&lt;'Données projet'!$A$62,$AF$205^A26,IF(A26='Données projet'!$A$62,'Données projet'!$B$62,AI25+AH26-AQ25)))</f>
        <v>59.399999999999991</v>
      </c>
      <c r="AJ26" s="14">
        <f>AI26*VLOOKUP('Données projet'!$B$10,Paramètres!$A$1:$I$89,3,0)*VLOOKUP('Données projet'!$B$10,Paramètres!$A$1:$I$89,5,0)</f>
        <v>56.525039999999997</v>
      </c>
      <c r="AK26" s="14">
        <f t="shared" si="35"/>
        <v>16.286662806220342</v>
      </c>
      <c r="AL26" s="22">
        <f t="shared" si="4"/>
        <v>126.81371572083374</v>
      </c>
      <c r="AM26" s="60">
        <f t="shared" si="5"/>
        <v>411.5914934986115</v>
      </c>
      <c r="AN26" s="60">
        <f ca="1">AVERAGE(OFFSET($AM$3,0,0,'Données projet'!$E$10+1,1))-AVERAGE(OFFSET($H$3,0,0,'Données projet'!$E$10+1,1))</f>
        <v>370.04285308422544</v>
      </c>
      <c r="AO26" s="60">
        <f t="shared" si="36"/>
        <v>218.53758068502731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173.60400000000001</v>
      </c>
      <c r="BB26" s="13">
        <f>VLOOKUP(A26,'Données projet'!$A$87:$I$107,9,0)</f>
        <v>19.669000000000011</v>
      </c>
      <c r="BC26" s="13">
        <f t="array" ref="BC26">INDEX(BB:BB,MIN(IF(ISNUMBER(BB26:BB222),ROW(BB26:BB222),"")))</f>
        <v>19.669000000000011</v>
      </c>
      <c r="BD26" s="13">
        <f>IF('Données projet'!$A$88&gt;35,BD25+BC26-BL25,IF(A26&lt;'Données projet'!$A$88,$BA$205^A26,IF(A26='Données projet'!$A$88,'Données projet'!$B$88,BD25+BC26-BL25)))</f>
        <v>173.60400000000004</v>
      </c>
      <c r="BE26" s="14">
        <f>BD26*VLOOKUP('Données projet'!$B$11,Paramètres!$A$1:$I$89,3,0)*VLOOKUP('Données projet'!$B$11,Paramètres!$A$1:$I$89,5,0)</f>
        <v>103.81519200000004</v>
      </c>
      <c r="BF26" s="14">
        <f t="shared" si="37"/>
        <v>27.868924323703233</v>
      </c>
      <c r="BG26" s="22">
        <f t="shared" si="7"/>
        <v>229.34983593044987</v>
      </c>
      <c r="BH26" s="60">
        <f t="shared" si="8"/>
        <v>514.12761370822761</v>
      </c>
      <c r="BI26" s="60">
        <f ca="1">AVERAGE(OFFSET($BH$3,0,0,'Données projet'!$E$11+1,1))-AVERAGE(OFFSET($H$3,0,0,'Données projet'!$E$11+1,1))</f>
        <v>225.82185458224626</v>
      </c>
      <c r="BJ26" s="60">
        <f t="shared" si="38"/>
        <v>363.02009369315243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2.8106426750196096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4.9920636303367258</v>
      </c>
      <c r="BS26" s="24">
        <f t="shared" si="9"/>
        <v>7.8027063053563355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24.599441292657108</v>
      </c>
      <c r="CA26" s="14">
        <f t="shared" si="39"/>
        <v>7.808607795256683</v>
      </c>
      <c r="CB26" s="22">
        <f t="shared" si="10"/>
        <v>56.444018828116505</v>
      </c>
      <c r="CC26" s="60">
        <f t="shared" si="11"/>
        <v>341.22179660589427</v>
      </c>
      <c r="CD26" s="60">
        <f ca="1">AVERAGE(OFFSET($CC$3,0,0,'Données projet'!$E$12+1,1))-AVERAGE(OFFSET($H$3,0,0,'Données projet'!$E$12+1,1))</f>
        <v>380.16582491288449</v>
      </c>
      <c r="CE26" s="60">
        <f t="shared" si="40"/>
        <v>166.97658184507776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22.103845799199142</v>
      </c>
      <c r="CV26" s="14">
        <f t="shared" si="41"/>
        <v>7.1043418398123555</v>
      </c>
      <c r="CW26" s="22">
        <f t="shared" si="13"/>
        <v>50.870926804611692</v>
      </c>
      <c r="CX26" s="60">
        <f t="shared" si="14"/>
        <v>335.64870458238948</v>
      </c>
      <c r="CY26" s="60">
        <f ca="1">AVERAGE(OFFSET($CX$3,0,0,'Données projet'!$E$13+1,1))-AVERAGE(OFFSET($H$3,0,0,'Données projet'!$E$13+1,1))</f>
        <v>345.71694170753534</v>
      </c>
      <c r="CZ26" s="60">
        <f t="shared" si="42"/>
        <v>154.08406475869634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416.62330272297186</v>
      </c>
      <c r="S27" s="60">
        <f ca="1">AVERAGE(OFFSET($R$3,0,0,'Données projet'!$E$9+1,1))-AVERAGE(OFFSET($H$3,0,0,'Données projet'!$E$9+1,1))</f>
        <v>430.21146937947236</v>
      </c>
      <c r="T27" s="60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5.8</v>
      </c>
      <c r="AI27" s="14">
        <f>IF('Données projet'!$A$62&gt;35,AI26+AH27-AQ26,IF(A27&lt;'Données projet'!$A$62,$AF$205^A27,IF(A27='Données projet'!$A$62,'Données projet'!$B$62,AI26+AH27-AQ26)))</f>
        <v>65.199999999999989</v>
      </c>
      <c r="AJ27" s="14">
        <f>AI27*VLOOKUP('Données projet'!$B$10,Paramètres!$A$1:$I$89,3,0)*VLOOKUP('Données projet'!$B$10,Paramètres!$A$1:$I$89,5,0)</f>
        <v>62.044319999999992</v>
      </c>
      <c r="AK27" s="14">
        <f t="shared" si="35"/>
        <v>17.684125070460286</v>
      </c>
      <c r="AL27" s="22">
        <f t="shared" si="4"/>
        <v>138.86037516438498</v>
      </c>
      <c r="AM27" s="60">
        <f t="shared" si="5"/>
        <v>424.860375164385</v>
      </c>
      <c r="AN27" s="60">
        <f ca="1">AVERAGE(OFFSET($AM$3,0,0,'Données projet'!$E$10+1,1))-AVERAGE(OFFSET($H$3,0,0,'Données projet'!$E$10+1,1))</f>
        <v>370.04285308422544</v>
      </c>
      <c r="AO27" s="60">
        <f t="shared" si="36"/>
        <v>218.53758068502731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194.4375</v>
      </c>
      <c r="BB27" s="13">
        <f>VLOOKUP(A27,'Données projet'!$A$87:$I$107,9,0)</f>
        <v>20.833499999999987</v>
      </c>
      <c r="BC27" s="13">
        <f t="array" ref="BC27">INDEX(BB:BB,MIN(IF(ISNUMBER(BB27:BB223),ROW(BB27:BB223),"")))</f>
        <v>20.833499999999987</v>
      </c>
      <c r="BD27" s="13">
        <f>IF('Données projet'!$A$88&gt;35,BD26+BC27-BL26,IF(A27&lt;'Données projet'!$A$88,$BA$205^A27,IF(A27='Données projet'!$A$88,'Données projet'!$B$88,BD26+BC27-BL26)))</f>
        <v>194.43750000000003</v>
      </c>
      <c r="BE27" s="14">
        <f>BD27*VLOOKUP('Données projet'!$B$11,Paramètres!$A$1:$I$89,3,0)*VLOOKUP('Données projet'!$B$11,Paramètres!$A$1:$I$89,5,0)</f>
        <v>116.27362500000002</v>
      </c>
      <c r="BF27" s="14">
        <f t="shared" si="37"/>
        <v>30.804294318003453</v>
      </c>
      <c r="BG27" s="22">
        <f t="shared" si="7"/>
        <v>256.16070947885601</v>
      </c>
      <c r="BH27" s="60">
        <f t="shared" si="8"/>
        <v>542.16070947885601</v>
      </c>
      <c r="BI27" s="60">
        <f ca="1">AVERAGE(OFFSET($BH$3,0,0,'Données projet'!$E$11+1,1))-AVERAGE(OFFSET($H$3,0,0,'Données projet'!$E$11+1,1))</f>
        <v>225.82185458224626</v>
      </c>
      <c r="BJ27" s="60">
        <f t="shared" si="38"/>
        <v>363.02009369315243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2.7555276864852316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3.5299220451258333</v>
      </c>
      <c r="BS27" s="24">
        <f t="shared" si="9"/>
        <v>6.2854497316110649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28.184484352609399</v>
      </c>
      <c r="CA27" s="14">
        <f t="shared" si="39"/>
        <v>8.8060466863244411</v>
      </c>
      <c r="CB27" s="22">
        <f t="shared" si="10"/>
        <v>64.425174892809764</v>
      </c>
      <c r="CC27" s="60">
        <f t="shared" si="11"/>
        <v>350.42517489280976</v>
      </c>
      <c r="CD27" s="60">
        <f ca="1">AVERAGE(OFFSET($CC$3,0,0,'Données projet'!$E$12+1,1))-AVERAGE(OFFSET($H$3,0,0,'Données projet'!$E$12+1,1))</f>
        <v>380.16582491288449</v>
      </c>
      <c r="CE27" s="60">
        <f t="shared" si="40"/>
        <v>166.97658184507776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25.325188838576565</v>
      </c>
      <c r="CV27" s="14">
        <f t="shared" si="41"/>
        <v>8.0118207441534324</v>
      </c>
      <c r="CW27" s="22">
        <f t="shared" si="13"/>
        <v>58.061958356588072</v>
      </c>
      <c r="CX27" s="60">
        <f t="shared" si="14"/>
        <v>344.06195835658809</v>
      </c>
      <c r="CY27" s="60">
        <f ca="1">AVERAGE(OFFSET($CX$3,0,0,'Données projet'!$E$13+1,1))-AVERAGE(OFFSET($H$3,0,0,'Données projet'!$E$13+1,1))</f>
        <v>345.71694170753534</v>
      </c>
      <c r="CZ27" s="60">
        <f t="shared" si="42"/>
        <v>154.08406475869634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428.89816692885358</v>
      </c>
      <c r="S28" s="60">
        <f ca="1">AVERAGE(OFFSET($R$3,0,0,'Données projet'!$E$9+1,1))-AVERAGE(OFFSET($H$3,0,0,'Données projet'!$E$9+1,1))</f>
        <v>430.21146937947236</v>
      </c>
      <c r="T28" s="60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5.8</v>
      </c>
      <c r="AH28" s="13">
        <f t="array" ref="AH28">INDEX(AG:AG,MIN(IF(ISNUMBER(AG28:AG224),ROW(AG28:AG224),"")))</f>
        <v>5.8</v>
      </c>
      <c r="AI28" s="14">
        <f>IF('Données projet'!$A$62&gt;35,AI27+AH28-AQ27,IF(A28&lt;'Données projet'!$A$62,$AF$205^A28,IF(A28='Données projet'!$A$62,'Données projet'!$B$62,AI27+AH28-AQ27)))</f>
        <v>70.999999999999986</v>
      </c>
      <c r="AJ28" s="14">
        <f>AI28*VLOOKUP('Données projet'!$B$10,Paramètres!$A$1:$I$89,3,0)*VLOOKUP('Données projet'!$B$10,Paramètres!$A$1:$I$89,5,0)</f>
        <v>67.56359999999998</v>
      </c>
      <c r="AK28" s="14">
        <f t="shared" si="35"/>
        <v>19.067171775042549</v>
      </c>
      <c r="AL28" s="22">
        <f t="shared" si="4"/>
        <v>150.88192750819908</v>
      </c>
      <c r="AM28" s="60">
        <f t="shared" si="5"/>
        <v>438.10414973042134</v>
      </c>
      <c r="AN28" s="60">
        <f ca="1">AVERAGE(OFFSET($AM$3,0,0,'Données projet'!$E$10+1,1))-AVERAGE(OFFSET($H$3,0,0,'Données projet'!$E$10+1,1))</f>
        <v>370.04285308422544</v>
      </c>
      <c r="AO28" s="60">
        <f t="shared" si="36"/>
        <v>218.53758068502731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16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215.6875</v>
      </c>
      <c r="BB28" s="13">
        <f>VLOOKUP(A28,'Données projet'!$A$87:$I$107,9,0)</f>
        <v>21.25</v>
      </c>
      <c r="BC28" s="13">
        <f t="array" ref="BC28">INDEX(BB:BB,MIN(IF(ISNUMBER(BB28:BB224),ROW(BB28:BB224),"")))</f>
        <v>21.25</v>
      </c>
      <c r="BD28" s="13">
        <f>IF('Données projet'!$A$88&gt;35,BD27+BC28-BL27,IF(A28&lt;'Données projet'!$A$88,$BA$205^A28,IF(A28='Données projet'!$A$88,'Données projet'!$B$88,BD27+BC28-BL27)))</f>
        <v>215.68750000000003</v>
      </c>
      <c r="BE28" s="14">
        <f>BD28*VLOOKUP('Données projet'!$B$11,Paramètres!$A$1:$I$89,3,0)*VLOOKUP('Données projet'!$B$11,Paramètres!$A$1:$I$89,5,0)</f>
        <v>128.98112500000002</v>
      </c>
      <c r="BF28" s="14">
        <f t="shared" si="37"/>
        <v>33.760819529650334</v>
      </c>
      <c r="BG28" s="22">
        <f t="shared" si="7"/>
        <v>283.4422200558077</v>
      </c>
      <c r="BH28" s="60">
        <f t="shared" si="8"/>
        <v>570.66444227802992</v>
      </c>
      <c r="BI28" s="60">
        <f ca="1">AVERAGE(OFFSET($BH$3,0,0,'Données projet'!$E$11+1,1))-AVERAGE(OFFSET($H$3,0,0,'Données projet'!$E$11+1,1))</f>
        <v>225.82185458224626</v>
      </c>
      <c r="BJ28" s="60">
        <f t="shared" si="38"/>
        <v>363.02009369315243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0.1125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0.75</v>
      </c>
      <c r="BP28" s="23">
        <f>EXP(-LN(2)/35)*BP27+(1-EXP(-LN(2)/35))/(LN(2)/35)*BL28*BM28*VLOOKUP('Données projet'!$B$11,Paramètres!$A$1:$I$89,3,0)*0.475*44/12</f>
        <v>7.5207031512027225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29.917565828961838</v>
      </c>
      <c r="BS28" s="24">
        <f t="shared" si="9"/>
        <v>37.438268980164558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32.292000000000002</v>
      </c>
      <c r="CA28" s="14">
        <f t="shared" si="39"/>
        <v>9.9308942483743401</v>
      </c>
      <c r="CB28" s="22">
        <f t="shared" si="10"/>
        <v>73.538207482585321</v>
      </c>
      <c r="CC28" s="60">
        <f t="shared" si="11"/>
        <v>360.76042970480756</v>
      </c>
      <c r="CD28" s="60">
        <f ca="1">AVERAGE(OFFSET($CC$3,0,0,'Données projet'!$E$12+1,1))-AVERAGE(OFFSET($H$3,0,0,'Données projet'!$E$12+1,1))</f>
        <v>380.16582491288449</v>
      </c>
      <c r="CE28" s="60">
        <f t="shared" si="40"/>
        <v>166.97658184507776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29.016000000000002</v>
      </c>
      <c r="CV28" s="14">
        <f t="shared" si="41"/>
        <v>9.0352172071357728</v>
      </c>
      <c r="CW28" s="22">
        <f t="shared" si="13"/>
        <v>66.272536635761469</v>
      </c>
      <c r="CX28" s="60">
        <f t="shared" si="14"/>
        <v>353.4947588579837</v>
      </c>
      <c r="CY28" s="60">
        <f ca="1">AVERAGE(OFFSET($CX$3,0,0,'Données projet'!$E$13+1,1))-AVERAGE(OFFSET($H$3,0,0,'Données projet'!$E$13+1,1))</f>
        <v>345.71694170753534</v>
      </c>
      <c r="CZ28" s="60">
        <f t="shared" si="42"/>
        <v>154.08406475869634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0">
        <f t="shared" si="0"/>
        <v>428.14827288949664</v>
      </c>
      <c r="S29" s="60">
        <f ca="1">AVERAGE(OFFSET($R$3,0,0,'Données projet'!$E$9+1,1))-AVERAGE(OFFSET($H$3,0,0,'Données projet'!$E$9+1,1))</f>
        <v>430.21146937947236</v>
      </c>
      <c r="T29" s="60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6.2</v>
      </c>
      <c r="AI29" s="14">
        <f>IF('Données projet'!$A$62&gt;35,AI28+AH29-AQ28,IF(A29&lt;'Données projet'!$A$62,$AF$205^A29,IF(A29='Données projet'!$A$62,'Données projet'!$B$62,AI28+AH29-AQ28)))</f>
        <v>61.199999999999989</v>
      </c>
      <c r="AJ29" s="14">
        <f>AI29*VLOOKUP('Données projet'!$B$10,Paramètres!$A$1:$I$89,3,0)*VLOOKUP('Données projet'!$B$10,Paramètres!$A$1:$I$89,5,0)</f>
        <v>58.237919999999995</v>
      </c>
      <c r="AK29" s="14">
        <f t="shared" si="35"/>
        <v>16.72198997753117</v>
      </c>
      <c r="AL29" s="22">
        <f t="shared" si="4"/>
        <v>130.55517654420012</v>
      </c>
      <c r="AM29" s="60">
        <f t="shared" si="5"/>
        <v>418.99962098864455</v>
      </c>
      <c r="AN29" s="60">
        <f ca="1">AVERAGE(OFFSET($AM$3,0,0,'Données projet'!$E$10+1,1))-AVERAGE(OFFSET($H$3,0,0,'Données projet'!$E$10+1,1))</f>
        <v>370.04285308422544</v>
      </c>
      <c r="AO29" s="60">
        <f t="shared" si="36"/>
        <v>218.53758068502731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>
        <f>VLOOKUP(A29,'Données projet'!$A$87:$I$107,2,0)</f>
        <v>178.755</v>
      </c>
      <c r="BB29" s="13">
        <f>VLOOKUP(A29,'Données projet'!$A$87:$I$107,9,0)</f>
        <v>17.067499999999995</v>
      </c>
      <c r="BC29" s="13">
        <f t="array" ref="BC29">INDEX(BB:BB,MIN(IF(ISNUMBER(BB29:BB225),ROW(BB29:BB225),"")))</f>
        <v>17.067499999999995</v>
      </c>
      <c r="BD29" s="13">
        <f>IF('Données projet'!$A$88&gt;35,BD28+BC29-BL28,IF(A29&lt;'Données projet'!$A$88,$BA$205^A29,IF(A29='Données projet'!$A$88,'Données projet'!$B$88,BD28+BC29-BL28)))</f>
        <v>178.75500000000002</v>
      </c>
      <c r="BE29" s="14">
        <f>BD29*VLOOKUP('Données projet'!$B$11,Paramètres!$A$1:$I$89,3,0)*VLOOKUP('Données projet'!$B$11,Paramètres!$A$1:$I$89,5,0)</f>
        <v>106.89549000000002</v>
      </c>
      <c r="BF29" s="14">
        <f t="shared" si="37"/>
        <v>28.598323540974565</v>
      </c>
      <c r="BG29" s="22">
        <f t="shared" si="7"/>
        <v>235.98505858386409</v>
      </c>
      <c r="BH29" s="60">
        <f t="shared" si="8"/>
        <v>524.42950302830855</v>
      </c>
      <c r="BI29" s="60">
        <f ca="1">AVERAGE(OFFSET($BH$3,0,0,'Données projet'!$E$11+1,1))-AVERAGE(OFFSET($H$3,0,0,'Données projet'!$E$11+1,1))</f>
        <v>225.82185458224626</v>
      </c>
      <c r="BJ29" s="60">
        <f t="shared" si="38"/>
        <v>363.02009369315243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7.3732267495836137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21.154913674253851</v>
      </c>
      <c r="BS29" s="24">
        <f t="shared" si="9"/>
        <v>28.528140423837463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37.45872</v>
      </c>
      <c r="CA29" s="14">
        <f t="shared" si="39"/>
        <v>11.322528864493165</v>
      </c>
      <c r="CB29" s="22">
        <f t="shared" si="10"/>
        <v>84.960675105658922</v>
      </c>
      <c r="CC29" s="60">
        <f t="shared" si="11"/>
        <v>373.40511955010339</v>
      </c>
      <c r="CD29" s="60">
        <f ca="1">AVERAGE(OFFSET($CC$3,0,0,'Données projet'!$E$12+1,1))-AVERAGE(OFFSET($H$3,0,0,'Données projet'!$E$12+1,1))</f>
        <v>380.16582491288449</v>
      </c>
      <c r="CE29" s="60">
        <f t="shared" si="40"/>
        <v>166.97658184507776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33.658559999999994</v>
      </c>
      <c r="CV29" s="14">
        <f t="shared" si="41"/>
        <v>10.301338939492439</v>
      </c>
      <c r="CW29" s="22">
        <f t="shared" si="13"/>
        <v>76.563490652949312</v>
      </c>
      <c r="CX29" s="60">
        <f t="shared" si="14"/>
        <v>365.00793509739378</v>
      </c>
      <c r="CY29" s="60">
        <f ca="1">AVERAGE(OFFSET($CX$3,0,0,'Données projet'!$E$13+1,1))-AVERAGE(OFFSET($H$3,0,0,'Données projet'!$E$13+1,1))</f>
        <v>345.71694170753534</v>
      </c>
      <c r="CZ29" s="60">
        <f t="shared" si="42"/>
        <v>154.08406475869634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0">
        <f t="shared" si="0"/>
        <v>443.16183437358302</v>
      </c>
      <c r="S30" s="60">
        <f ca="1">AVERAGE(OFFSET($R$3,0,0,'Données projet'!$E$9+1,1))-AVERAGE(OFFSET($H$3,0,0,'Données projet'!$E$9+1,1))</f>
        <v>430.21146937947236</v>
      </c>
      <c r="T30" s="60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6.2</v>
      </c>
      <c r="AI30" s="14">
        <f>IF('Données projet'!$A$62&gt;35,AI29+AH30-AQ29,IF(A30&lt;'Données projet'!$A$62,$AF$205^A30,IF(A30='Données projet'!$A$62,'Données projet'!$B$62,AI29+AH30-AQ29)))</f>
        <v>67.399999999999991</v>
      </c>
      <c r="AJ30" s="14">
        <f>AI30*VLOOKUP('Données projet'!$B$10,Paramètres!$A$1:$I$89,3,0)*VLOOKUP('Données projet'!$B$10,Paramètres!$A$1:$I$89,5,0)</f>
        <v>64.137839999999997</v>
      </c>
      <c r="AK30" s="14">
        <f t="shared" si="35"/>
        <v>18.210349741051775</v>
      </c>
      <c r="AL30" s="22">
        <f t="shared" si="4"/>
        <v>143.4230971323318</v>
      </c>
      <c r="AM30" s="60">
        <f t="shared" si="5"/>
        <v>433.08976379899849</v>
      </c>
      <c r="AN30" s="60">
        <f ca="1">AVERAGE(OFFSET($AM$3,0,0,'Données projet'!$E$10+1,1))-AVERAGE(OFFSET($H$3,0,0,'Données projet'!$E$10+1,1))</f>
        <v>370.04285308422544</v>
      </c>
      <c r="AO30" s="60">
        <f t="shared" si="36"/>
        <v>218.53758068502731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195.90799999999999</v>
      </c>
      <c r="BB30" s="13">
        <f>VLOOKUP(A30,'Données projet'!$A$87:$I$107,9,0)</f>
        <v>17.152999999999992</v>
      </c>
      <c r="BC30" s="13">
        <f t="array" ref="BC30">INDEX(BB:BB,MIN(IF(ISNUMBER(BB30:BB226),ROW(BB30:BB226),"")))</f>
        <v>17.152999999999992</v>
      </c>
      <c r="BD30" s="13">
        <f>IF('Données projet'!$A$88&gt;35,BD29+BC30-BL29,IF(A30&lt;'Données projet'!$A$88,$BA$205^A30,IF(A30='Données projet'!$A$88,'Données projet'!$B$88,BD29+BC30-BL29)))</f>
        <v>195.90800000000002</v>
      </c>
      <c r="BE30" s="14">
        <f>BD30*VLOOKUP('Données projet'!$B$11,Paramètres!$A$1:$I$89,3,0)*VLOOKUP('Données projet'!$B$11,Paramètres!$A$1:$I$89,5,0)</f>
        <v>117.15298400000002</v>
      </c>
      <c r="BF30" s="14">
        <f t="shared" si="37"/>
        <v>31.010054486958683</v>
      </c>
      <c r="BG30" s="22">
        <f t="shared" si="7"/>
        <v>258.05062536478636</v>
      </c>
      <c r="BH30" s="60">
        <f t="shared" si="8"/>
        <v>547.7172920314531</v>
      </c>
      <c r="BI30" s="60">
        <f ca="1">AVERAGE(OFFSET($BH$3,0,0,'Données projet'!$E$11+1,1))-AVERAGE(OFFSET($H$3,0,0,'Données projet'!$E$11+1,1))</f>
        <v>225.82185458224626</v>
      </c>
      <c r="BJ30" s="60">
        <f t="shared" si="38"/>
        <v>363.02009369315243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7.2286422702485327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14.958782914480921</v>
      </c>
      <c r="BS30" s="24">
        <f t="shared" si="9"/>
        <v>22.187425184729452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42.62543999999999</v>
      </c>
      <c r="CA30" s="14">
        <f t="shared" si="39"/>
        <v>12.691924583898647</v>
      </c>
      <c r="CB30" s="22">
        <f t="shared" si="10"/>
        <v>96.34440998362345</v>
      </c>
      <c r="CC30" s="60">
        <f t="shared" si="11"/>
        <v>386.01107665029014</v>
      </c>
      <c r="CD30" s="60">
        <f ca="1">AVERAGE(OFFSET($CC$3,0,0,'Données projet'!$E$12+1,1))-AVERAGE(OFFSET($H$3,0,0,'Données projet'!$E$12+1,1))</f>
        <v>380.16582491288449</v>
      </c>
      <c r="CE30" s="60">
        <f t="shared" si="40"/>
        <v>166.97658184507776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38.301119999999997</v>
      </c>
      <c r="CV30" s="14">
        <f t="shared" si="41"/>
        <v>11.547227522927502</v>
      </c>
      <c r="CW30" s="22">
        <f t="shared" si="13"/>
        <v>86.819205269098731</v>
      </c>
      <c r="CX30" s="60">
        <f t="shared" si="14"/>
        <v>376.48587193576543</v>
      </c>
      <c r="CY30" s="60">
        <f ca="1">AVERAGE(OFFSET($CX$3,0,0,'Données projet'!$E$13+1,1))-AVERAGE(OFFSET($H$3,0,0,'Données projet'!$E$13+1,1))</f>
        <v>345.71694170753534</v>
      </c>
      <c r="CZ30" s="60">
        <f t="shared" si="42"/>
        <v>154.08406475869634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0">
        <f t="shared" si="0"/>
        <v>458.14591643983221</v>
      </c>
      <c r="S31" s="60">
        <f ca="1">AVERAGE(OFFSET($R$3,0,0,'Données projet'!$E$9+1,1))-AVERAGE(OFFSET($H$3,0,0,'Données projet'!$E$9+1,1))</f>
        <v>430.21146937947236</v>
      </c>
      <c r="T31" s="60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6.2</v>
      </c>
      <c r="AI31" s="14">
        <f>IF('Données projet'!$A$62&gt;35,AI30+AH31-AQ30,IF(A31&lt;'Données projet'!$A$62,$AF$205^A31,IF(A31='Données projet'!$A$62,'Données projet'!$B$62,AI30+AH31-AQ30)))</f>
        <v>73.599999999999994</v>
      </c>
      <c r="AJ31" s="14">
        <f>AI31*VLOOKUP('Données projet'!$B$10,Paramètres!$A$1:$I$89,3,0)*VLOOKUP('Données projet'!$B$10,Paramètres!$A$1:$I$89,5,0)</f>
        <v>70.037759999999992</v>
      </c>
      <c r="AK31" s="14">
        <f t="shared" si="35"/>
        <v>19.682834415874893</v>
      </c>
      <c r="AL31" s="22">
        <f t="shared" si="4"/>
        <v>156.26336860764874</v>
      </c>
      <c r="AM31" s="60">
        <f t="shared" si="5"/>
        <v>447.15225749653757</v>
      </c>
      <c r="AN31" s="60">
        <f ca="1">AVERAGE(OFFSET($AM$3,0,0,'Données projet'!$E$10+1,1))-AVERAGE(OFFSET($H$3,0,0,'Données projet'!$E$10+1,1))</f>
        <v>370.04285308422544</v>
      </c>
      <c r="AO31" s="60">
        <f t="shared" si="36"/>
        <v>218.53758068502731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213.4265</v>
      </c>
      <c r="BB31" s="13">
        <f>VLOOKUP(A31,'Données projet'!$A$87:$I$107,9,0)</f>
        <v>17.518500000000017</v>
      </c>
      <c r="BC31" s="13">
        <f t="array" ref="BC31">INDEX(BB:BB,MIN(IF(ISNUMBER(BB31:BB227),ROW(BB31:BB227),"")))</f>
        <v>17.518500000000017</v>
      </c>
      <c r="BD31" s="13">
        <f>IF('Données projet'!$A$88&gt;35,BD30+BC31-BL30,IF(A31&lt;'Données projet'!$A$88,$BA$205^A31,IF(A31='Données projet'!$A$88,'Données projet'!$B$88,BD30+BC31-BL30)))</f>
        <v>213.42650000000003</v>
      </c>
      <c r="BE31" s="14">
        <f>BD31*VLOOKUP('Données projet'!$B$11,Paramètres!$A$1:$I$89,3,0)*VLOOKUP('Données projet'!$B$11,Paramètres!$A$1:$I$89,5,0)</f>
        <v>127.62904700000003</v>
      </c>
      <c r="BF31" s="14">
        <f t="shared" si="37"/>
        <v>33.447916194046705</v>
      </c>
      <c r="BG31" s="22">
        <f t="shared" si="7"/>
        <v>280.5423775629647</v>
      </c>
      <c r="BH31" s="60">
        <f t="shared" si="8"/>
        <v>571.43126645185362</v>
      </c>
      <c r="BI31" s="60">
        <f ca="1">AVERAGE(OFFSET($BH$3,0,0,'Données projet'!$E$11+1,1))-AVERAGE(OFFSET($H$3,0,0,'Données projet'!$E$11+1,1))</f>
        <v>225.82185458224626</v>
      </c>
      <c r="BJ31" s="60">
        <f t="shared" si="38"/>
        <v>363.02009369315243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7.0868930043653879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10.577456837126928</v>
      </c>
      <c r="BS31" s="24">
        <f t="shared" si="9"/>
        <v>17.664349841492317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47.792159999999988</v>
      </c>
      <c r="CA31" s="14">
        <f t="shared" si="39"/>
        <v>14.042085367056567</v>
      </c>
      <c r="CB31" s="22">
        <f t="shared" si="10"/>
        <v>107.69464401429015</v>
      </c>
      <c r="CC31" s="60">
        <f t="shared" si="11"/>
        <v>398.58353290317899</v>
      </c>
      <c r="CD31" s="60">
        <f ca="1">AVERAGE(OFFSET($CC$3,0,0,'Données projet'!$E$12+1,1))-AVERAGE(OFFSET($H$3,0,0,'Données projet'!$E$12+1,1))</f>
        <v>380.16582491288449</v>
      </c>
      <c r="CE31" s="60">
        <f t="shared" si="40"/>
        <v>166.97658184507776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42.943679999999993</v>
      </c>
      <c r="CV31" s="14">
        <f t="shared" si="41"/>
        <v>12.775615987781539</v>
      </c>
      <c r="CW31" s="22">
        <f t="shared" si="13"/>
        <v>97.044440512052844</v>
      </c>
      <c r="CX31" s="60">
        <f t="shared" si="14"/>
        <v>387.93332940094172</v>
      </c>
      <c r="CY31" s="60">
        <f ca="1">AVERAGE(OFFSET($CX$3,0,0,'Données projet'!$E$13+1,1))-AVERAGE(OFFSET($H$3,0,0,'Données projet'!$E$13+1,1))</f>
        <v>345.71694170753534</v>
      </c>
      <c r="CZ31" s="60">
        <f t="shared" si="42"/>
        <v>154.08406475869634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0">
        <f t="shared" si="0"/>
        <v>473.10328796969736</v>
      </c>
      <c r="S32" s="60">
        <f ca="1">AVERAGE(OFFSET($R$3,0,0,'Données projet'!$E$9+1,1))-AVERAGE(OFFSET($H$3,0,0,'Données projet'!$E$9+1,1))</f>
        <v>430.21146937947236</v>
      </c>
      <c r="T32" s="60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6.2</v>
      </c>
      <c r="AI32" s="14">
        <f>IF('Données projet'!$A$62&gt;35,AI31+AH32-AQ31,IF(A32&lt;'Données projet'!$A$62,$AF$205^A32,IF(A32='Données projet'!$A$62,'Données projet'!$B$62,AI31+AH32-AQ31)))</f>
        <v>79.8</v>
      </c>
      <c r="AJ32" s="14">
        <f>AI32*VLOOKUP('Données projet'!$B$10,Paramètres!$A$1:$I$89,3,0)*VLOOKUP('Données projet'!$B$10,Paramètres!$A$1:$I$89,5,0)</f>
        <v>75.93768</v>
      </c>
      <c r="AK32" s="14">
        <f t="shared" si="35"/>
        <v>21.140933347504248</v>
      </c>
      <c r="AL32" s="22">
        <f t="shared" si="4"/>
        <v>169.07858491356987</v>
      </c>
      <c r="AM32" s="60">
        <f t="shared" si="5"/>
        <v>461.18969602468098</v>
      </c>
      <c r="AN32" s="60">
        <f ca="1">AVERAGE(OFFSET($AM$3,0,0,'Données projet'!$E$10+1,1))-AVERAGE(OFFSET($H$3,0,0,'Données projet'!$E$10+1,1))</f>
        <v>370.04285308422544</v>
      </c>
      <c r="AO32" s="60">
        <f t="shared" si="36"/>
        <v>218.53758068502731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231.29350000000002</v>
      </c>
      <c r="BB32" s="13">
        <f>VLOOKUP(A32,'Données projet'!$A$87:$I$107,9,0)</f>
        <v>17.867000000000019</v>
      </c>
      <c r="BC32" s="13">
        <f t="array" ref="BC32">INDEX(BB:BB,MIN(IF(ISNUMBER(BB32:BB228),ROW(BB32:BB228),"")))</f>
        <v>17.867000000000019</v>
      </c>
      <c r="BD32" s="13">
        <f>IF('Données projet'!$A$88&gt;35,BD31+BC32-BL31,IF(A32&lt;'Données projet'!$A$88,$BA$205^A32,IF(A32='Données projet'!$A$88,'Données projet'!$B$88,BD31+BC32-BL31)))</f>
        <v>231.29350000000005</v>
      </c>
      <c r="BE32" s="14">
        <f>BD32*VLOOKUP('Données projet'!$B$11,Paramètres!$A$1:$I$89,3,0)*VLOOKUP('Données projet'!$B$11,Paramètres!$A$1:$I$89,5,0)</f>
        <v>138.31351300000003</v>
      </c>
      <c r="BF32" s="14">
        <f t="shared" si="37"/>
        <v>35.910382914607332</v>
      </c>
      <c r="BG32" s="22">
        <f t="shared" si="7"/>
        <v>303.43995205127447</v>
      </c>
      <c r="BH32" s="60">
        <f t="shared" si="8"/>
        <v>595.55106316238562</v>
      </c>
      <c r="BI32" s="60">
        <f ca="1">AVERAGE(OFFSET($BH$3,0,0,'Données projet'!$E$11+1,1))-AVERAGE(OFFSET($H$3,0,0,'Données projet'!$E$11+1,1))</f>
        <v>225.82185458224626</v>
      </c>
      <c r="BJ32" s="60">
        <f t="shared" si="38"/>
        <v>363.02009369315243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6.9479233551276964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7.4793914572404621</v>
      </c>
      <c r="BS32" s="24">
        <f t="shared" si="9"/>
        <v>14.427314812368159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52.958879999999979</v>
      </c>
      <c r="CA32" s="14">
        <f t="shared" si="39"/>
        <v>15.375327718852537</v>
      </c>
      <c r="CB32" s="22">
        <f t="shared" si="10"/>
        <v>119.01541177700146</v>
      </c>
      <c r="CC32" s="60">
        <f t="shared" si="11"/>
        <v>411.12652288811262</v>
      </c>
      <c r="CD32" s="60">
        <f ca="1">AVERAGE(OFFSET($CC$3,0,0,'Données projet'!$E$12+1,1))-AVERAGE(OFFSET($H$3,0,0,'Données projet'!$E$12+1,1))</f>
        <v>380.16582491288449</v>
      </c>
      <c r="CE32" s="60">
        <f t="shared" si="40"/>
        <v>166.97658184507776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47.586239999999989</v>
      </c>
      <c r="CV32" s="14">
        <f t="shared" si="41"/>
        <v>13.98861191110446</v>
      </c>
      <c r="CW32" s="22">
        <f t="shared" si="13"/>
        <v>107.2428670785069</v>
      </c>
      <c r="CX32" s="60">
        <f t="shared" si="14"/>
        <v>399.35397818961803</v>
      </c>
      <c r="CY32" s="60">
        <f ca="1">AVERAGE(OFFSET($CX$3,0,0,'Données projet'!$E$13+1,1))-AVERAGE(OFFSET($H$3,0,0,'Données projet'!$E$13+1,1))</f>
        <v>345.71694170753534</v>
      </c>
      <c r="CZ32" s="60">
        <f t="shared" si="42"/>
        <v>154.08406475869634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0">
        <f t="shared" si="0"/>
        <v>488.03626265127355</v>
      </c>
      <c r="S33" s="60">
        <f ca="1">AVERAGE(OFFSET($R$3,0,0,'Données projet'!$E$9+1,1))-AVERAGE(OFFSET($H$3,0,0,'Données projet'!$E$9+1,1))</f>
        <v>430.21146937947236</v>
      </c>
      <c r="T33" s="60">
        <f t="shared" si="34"/>
        <v>231.36959598460686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86</v>
      </c>
      <c r="AG33" s="13">
        <f>VLOOKUP(A33,'Données projet'!$A$61:$I$81,9,0)</f>
        <v>6.2</v>
      </c>
      <c r="AH33" s="13">
        <f t="array" ref="AH33">INDEX(AG:AG,MIN(IF(ISNUMBER(AG33:AG229),ROW(AG33:AG229),"")))</f>
        <v>6.2</v>
      </c>
      <c r="AI33" s="14">
        <f>IF('Données projet'!$A$62&gt;35,AI32+AH33-AQ32,IF(A33&lt;'Données projet'!$A$62,$AF$205^A33,IF(A33='Données projet'!$A$62,'Données projet'!$B$62,AI32+AH33-AQ32)))</f>
        <v>86</v>
      </c>
      <c r="AJ33" s="14">
        <f>AI33*VLOOKUP('Données projet'!$B$10,Paramètres!$A$1:$I$89,3,0)*VLOOKUP('Données projet'!$B$10,Paramètres!$A$1:$I$89,5,0)</f>
        <v>81.837600000000009</v>
      </c>
      <c r="AK33" s="14">
        <f t="shared" si="35"/>
        <v>22.585891302408051</v>
      </c>
      <c r="AL33" s="22">
        <f t="shared" si="4"/>
        <v>181.87091401836071</v>
      </c>
      <c r="AM33" s="60">
        <f t="shared" si="5"/>
        <v>475.20424735169399</v>
      </c>
      <c r="AN33" s="60">
        <f ca="1">AVERAGE(OFFSET($AM$3,0,0,'Données projet'!$E$10+1,1))-AVERAGE(OFFSET($H$3,0,0,'Données projet'!$E$10+1,1))</f>
        <v>370.04285308422544</v>
      </c>
      <c r="AO33" s="60">
        <f t="shared" si="36"/>
        <v>218.53758068502731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249.203</v>
      </c>
      <c r="BB33" s="13">
        <f>VLOOKUP(A33,'Données projet'!$A$87:$I$107,9,0)</f>
        <v>17.90949999999998</v>
      </c>
      <c r="BC33" s="13">
        <f t="array" ref="BC33">INDEX(BB:BB,MIN(IF(ISNUMBER(BB33:BB229),ROW(BB33:BB229),"")))</f>
        <v>17.90949999999998</v>
      </c>
      <c r="BD33" s="13">
        <f>IF('Données projet'!$A$88&gt;35,BD32+BC33-BL32,IF(A33&lt;'Données projet'!$A$88,$BA$205^A33,IF(A33='Données projet'!$A$88,'Données projet'!$B$88,BD32+BC33-BL32)))</f>
        <v>249.20300000000003</v>
      </c>
      <c r="BE33" s="14">
        <f>BD33*VLOOKUP('Données projet'!$B$11,Paramètres!$A$1:$I$89,3,0)*VLOOKUP('Données projet'!$B$11,Paramètres!$A$1:$I$89,5,0)</f>
        <v>149.02339400000002</v>
      </c>
      <c r="BF33" s="14">
        <f t="shared" si="37"/>
        <v>38.356564101331521</v>
      </c>
      <c r="BG33" s="22">
        <f t="shared" si="7"/>
        <v>326.35342702648575</v>
      </c>
      <c r="BH33" s="60">
        <f t="shared" si="8"/>
        <v>619.68676035981912</v>
      </c>
      <c r="BI33" s="60">
        <f ca="1">AVERAGE(OFFSET($BH$3,0,0,'Données projet'!$E$11+1,1))-AVERAGE(OFFSET($H$3,0,0,'Données projet'!$E$11+1,1))</f>
        <v>225.82185458224626</v>
      </c>
      <c r="BJ33" s="60">
        <f t="shared" si="38"/>
        <v>363.02009369315243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6.8116788159484392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5.2887284185634647</v>
      </c>
      <c r="BS33" s="24">
        <f t="shared" si="9"/>
        <v>12.100407234511904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58.125599999999977</v>
      </c>
      <c r="CA33" s="14">
        <f t="shared" si="39"/>
        <v>16.693490054590161</v>
      </c>
      <c r="CB33" s="22">
        <f t="shared" si="10"/>
        <v>130.30991517841116</v>
      </c>
      <c r="CC33" s="60">
        <f t="shared" si="11"/>
        <v>423.64324851174445</v>
      </c>
      <c r="CD33" s="60">
        <f ca="1">AVERAGE(OFFSET($CC$3,0,0,'Données projet'!$E$12+1,1))-AVERAGE(OFFSET($H$3,0,0,'Données projet'!$E$12+1,1))</f>
        <v>380.16582491288449</v>
      </c>
      <c r="CE33" s="60">
        <f t="shared" si="40"/>
        <v>166.97658184507776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52.228799999999985</v>
      </c>
      <c r="CV33" s="14">
        <f t="shared" si="41"/>
        <v>15.187887899730002</v>
      </c>
      <c r="CW33" s="22">
        <f t="shared" si="13"/>
        <v>117.41739809202973</v>
      </c>
      <c r="CX33" s="60">
        <f t="shared" si="14"/>
        <v>410.75073142536303</v>
      </c>
      <c r="CY33" s="60">
        <f ca="1">AVERAGE(OFFSET($CX$3,0,0,'Données projet'!$E$13+1,1))-AVERAGE(OFFSET($H$3,0,0,'Données projet'!$E$13+1,1))</f>
        <v>345.71694170753534</v>
      </c>
      <c r="CZ33" s="60">
        <f t="shared" si="42"/>
        <v>154.08406475869634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95.004000000000005</v>
      </c>
      <c r="P34" s="14">
        <f t="shared" si="33"/>
        <v>25.768242550600785</v>
      </c>
      <c r="Q34" s="22">
        <f t="shared" si="2"/>
        <v>210.34498910896306</v>
      </c>
      <c r="R34" s="60">
        <f t="shared" si="0"/>
        <v>503.67832244229635</v>
      </c>
      <c r="S34" s="60">
        <f ca="1">AVERAGE(OFFSET($R$3,0,0,'Données projet'!$E$9+1,1))-AVERAGE(OFFSET($H$3,0,0,'Données projet'!$E$9+1,1))</f>
        <v>430.21146937947236</v>
      </c>
      <c r="T34" s="60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6.2</v>
      </c>
      <c r="AI34" s="14">
        <f>IF('Données projet'!$A$62&gt;35,AI33+AH34-AQ33,IF(A34&lt;'Données projet'!$A$62,$AF$205^A34,IF(A34='Données projet'!$A$62,'Données projet'!$B$62,AI33+AH34-AQ33)))</f>
        <v>92.2</v>
      </c>
      <c r="AJ34" s="14">
        <f>AI34*VLOOKUP('Données projet'!$B$10,Paramètres!$A$1:$I$89,3,0)*VLOOKUP('Données projet'!$B$10,Paramètres!$A$1:$I$89,5,0)</f>
        <v>87.737520000000004</v>
      </c>
      <c r="AK34" s="14">
        <f t="shared" si="35"/>
        <v>24.018763396344436</v>
      </c>
      <c r="AL34" s="22">
        <f t="shared" si="4"/>
        <v>194.64219358196658</v>
      </c>
      <c r="AM34" s="60">
        <f t="shared" si="5"/>
        <v>487.97552691529989</v>
      </c>
      <c r="AN34" s="60">
        <f ca="1">AVERAGE(OFFSET($AM$3,0,0,'Données projet'!$E$10+1,1))-AVERAGE(OFFSET($H$3,0,0,'Données projet'!$E$10+1,1))</f>
        <v>370.04285308422544</v>
      </c>
      <c r="AO34" s="60">
        <f t="shared" si="36"/>
        <v>218.53758068502731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9.3067916666666672</v>
      </c>
      <c r="BD34" s="13">
        <f>IF('Données projet'!$A$88&gt;35,BD33+BC34-BL33,IF(A34&lt;'Données projet'!$A$88,$BA$205^A34,IF(A34='Données projet'!$A$88,'Données projet'!$B$88,BD33+BC34-BL33)))</f>
        <v>258.50979166666667</v>
      </c>
      <c r="BE34" s="14">
        <f>BD34*VLOOKUP('Données projet'!$B$11,Paramètres!$A$1:$I$89,3,0)*VLOOKUP('Données projet'!$B$11,Paramètres!$A$1:$I$89,5,0)</f>
        <v>154.58885541666669</v>
      </c>
      <c r="BF34" s="14">
        <f t="shared" si="37"/>
        <v>39.619583542411746</v>
      </c>
      <c r="BG34" s="22">
        <f t="shared" si="7"/>
        <v>338.24636452039493</v>
      </c>
      <c r="BH34" s="60">
        <f t="shared" si="8"/>
        <v>631.57969785372825</v>
      </c>
      <c r="BI34" s="60">
        <f ca="1">AVERAGE(OFFSET($BH$3,0,0,'Données projet'!$E$11+1,1))-AVERAGE(OFFSET($H$3,0,0,'Données projet'!$E$11+1,1))</f>
        <v>225.82185458224626</v>
      </c>
      <c r="BJ34" s="60">
        <f t="shared" si="38"/>
        <v>363.02009369315243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6.678105949081524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3.7396957286202315</v>
      </c>
      <c r="BS34" s="24">
        <f t="shared" si="9"/>
        <v>10.417801677701755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63.507599999999982</v>
      </c>
      <c r="CA34" s="14">
        <f t="shared" si="39"/>
        <v>18.052146695841799</v>
      </c>
      <c r="CB34" s="22">
        <f t="shared" si="10"/>
        <v>142.04989216192442</v>
      </c>
      <c r="CC34" s="60">
        <f t="shared" si="11"/>
        <v>435.38322549525776</v>
      </c>
      <c r="CD34" s="60">
        <f ca="1">AVERAGE(OFFSET($CC$3,0,0,'Données projet'!$E$12+1,1))-AVERAGE(OFFSET($H$3,0,0,'Données projet'!$E$12+1,1))</f>
        <v>380.16582491288449</v>
      </c>
      <c r="CE34" s="60">
        <f t="shared" si="40"/>
        <v>166.97658184507776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57.064799999999991</v>
      </c>
      <c r="CV34" s="14">
        <f t="shared" si="41"/>
        <v>16.424005972947381</v>
      </c>
      <c r="CW34" s="22">
        <f t="shared" si="13"/>
        <v>127.99300373621668</v>
      </c>
      <c r="CX34" s="60">
        <f t="shared" si="14"/>
        <v>421.32633706954999</v>
      </c>
      <c r="CY34" s="60">
        <f ca="1">AVERAGE(OFFSET($CX$3,0,0,'Données projet'!$E$13+1,1))-AVERAGE(OFFSET($H$3,0,0,'Données projet'!$E$13+1,1))</f>
        <v>345.71694170753534</v>
      </c>
      <c r="CZ34" s="60">
        <f t="shared" si="42"/>
        <v>154.08406475869634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102.24239999999999</v>
      </c>
      <c r="P35" s="14">
        <f t="shared" si="33"/>
        <v>27.495526976991481</v>
      </c>
      <c r="Q35" s="22">
        <f t="shared" ref="Q35:Q66" si="53">(O35+P35)*0.475*44/12</f>
        <v>225.96022281826015</v>
      </c>
      <c r="R35" s="60">
        <f t="shared" si="0"/>
        <v>519.29355615159352</v>
      </c>
      <c r="S35" s="60">
        <f ca="1">AVERAGE(OFFSET($R$3,0,0,'Données projet'!$E$9+1,1))-AVERAGE(OFFSET($H$3,0,0,'Données projet'!$E$9+1,1))</f>
        <v>430.21146937947236</v>
      </c>
      <c r="T35" s="60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6.2</v>
      </c>
      <c r="AI35" s="14">
        <f>IF('Données projet'!$A$62&gt;35,AI34+AH35-AQ34,IF(A35&lt;'Données projet'!$A$62,$AF$205^A35,IF(A35='Données projet'!$A$62,'Données projet'!$B$62,AI34+AH35-AQ34)))</f>
        <v>98.4</v>
      </c>
      <c r="AJ35" s="14">
        <f>AI35*VLOOKUP('Données projet'!$B$10,Paramètres!$A$1:$I$89,3,0)*VLOOKUP('Données projet'!$B$10,Paramètres!$A$1:$I$89,5,0)</f>
        <v>93.637439999999998</v>
      </c>
      <c r="AK35" s="14">
        <f t="shared" si="35"/>
        <v>25.440454812880304</v>
      </c>
      <c r="AL35" s="22">
        <f t="shared" si="4"/>
        <v>207.39400013243321</v>
      </c>
      <c r="AM35" s="60">
        <f t="shared" si="5"/>
        <v>500.72733346576649</v>
      </c>
      <c r="AN35" s="60">
        <f ca="1">AVERAGE(OFFSET($AM$3,0,0,'Données projet'!$E$10+1,1))-AVERAGE(OFFSET($H$3,0,0,'Données projet'!$E$10+1,1))</f>
        <v>370.04285308422544</v>
      </c>
      <c r="AO35" s="60">
        <f t="shared" si="36"/>
        <v>218.53758068502731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9.3067916666666672</v>
      </c>
      <c r="BD35" s="13">
        <f>IF('Données projet'!$A$88&gt;35,BD34+BC35-BL34,IF(A35&lt;'Données projet'!$A$88,$BA$205^A35,IF(A35='Données projet'!$A$88,'Données projet'!$B$88,BD34+BC35-BL34)))</f>
        <v>267.81658333333331</v>
      </c>
      <c r="BE35" s="14">
        <f>BD35*VLOOKUP('Données projet'!$B$11,Paramètres!$A$1:$I$89,3,0)*VLOOKUP('Données projet'!$B$11,Paramètres!$A$1:$I$89,5,0)</f>
        <v>160.15431683333333</v>
      </c>
      <c r="BF35" s="14">
        <f t="shared" si="37"/>
        <v>40.877320046115116</v>
      </c>
      <c r="BG35" s="22">
        <f t="shared" si="7"/>
        <v>350.13010089837275</v>
      </c>
      <c r="BH35" s="60">
        <f t="shared" si="8"/>
        <v>643.46343423170606</v>
      </c>
      <c r="BI35" s="60">
        <f ca="1">AVERAGE(OFFSET($BH$3,0,0,'Données projet'!$E$11+1,1))-AVERAGE(OFFSET($H$3,0,0,'Données projet'!$E$11+1,1))</f>
        <v>225.82185458224626</v>
      </c>
      <c r="BJ35" s="60">
        <f t="shared" si="38"/>
        <v>363.02009369315243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6.5471523646624652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2.6443642092817328</v>
      </c>
      <c r="BS35" s="24">
        <f t="shared" si="9"/>
        <v>9.1915165739441989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68.889599999999987</v>
      </c>
      <c r="CA35" s="14">
        <f t="shared" si="39"/>
        <v>19.397450021635805</v>
      </c>
      <c r="CB35" s="22">
        <f t="shared" si="10"/>
        <v>153.76661212101567</v>
      </c>
      <c r="CC35" s="60">
        <f t="shared" si="11"/>
        <v>447.09994545434898</v>
      </c>
      <c r="CD35" s="60">
        <f ca="1">AVERAGE(OFFSET($CC$3,0,0,'Données projet'!$E$12+1,1))-AVERAGE(OFFSET($H$3,0,0,'Données projet'!$E$12+1,1))</f>
        <v>380.16582491288449</v>
      </c>
      <c r="CE35" s="60">
        <f t="shared" si="40"/>
        <v>166.97658184507776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61.90079999999999</v>
      </c>
      <c r="CV35" s="14">
        <f t="shared" si="41"/>
        <v>17.647975079256284</v>
      </c>
      <c r="CW35" s="22">
        <f t="shared" si="13"/>
        <v>138.54744992970467</v>
      </c>
      <c r="CX35" s="60">
        <f t="shared" si="14"/>
        <v>431.88078326303798</v>
      </c>
      <c r="CY35" s="60">
        <f ca="1">AVERAGE(OFFSET($CX$3,0,0,'Données projet'!$E$13+1,1))-AVERAGE(OFFSET($H$3,0,0,'Données projet'!$E$13+1,1))</f>
        <v>345.71694170753534</v>
      </c>
      <c r="CZ35" s="60">
        <f t="shared" si="42"/>
        <v>154.08406475869634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109.48079999999999</v>
      </c>
      <c r="P36" s="14">
        <f t="shared" si="33"/>
        <v>29.208623339903898</v>
      </c>
      <c r="Q36" s="22">
        <f t="shared" si="53"/>
        <v>241.5507456503326</v>
      </c>
      <c r="R36" s="60">
        <f t="shared" si="0"/>
        <v>534.88407898366586</v>
      </c>
      <c r="S36" s="60">
        <f ca="1">AVERAGE(OFFSET($R$3,0,0,'Données projet'!$E$9+1,1))-AVERAGE(OFFSET($H$3,0,0,'Données projet'!$E$9+1,1))</f>
        <v>430.21146937947236</v>
      </c>
      <c r="T36" s="60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6.2</v>
      </c>
      <c r="AI36" s="14">
        <f>IF('Données projet'!$A$62&gt;35,AI35+AH36-AQ35,IF(A36&lt;'Données projet'!$A$62,$AF$205^A36,IF(A36='Données projet'!$A$62,'Données projet'!$B$62,AI35+AH36-AQ35)))</f>
        <v>104.60000000000001</v>
      </c>
      <c r="AJ36" s="14">
        <f>AI36*VLOOKUP('Données projet'!$B$10,Paramètres!$A$1:$I$89,3,0)*VLOOKUP('Données projet'!$B$10,Paramètres!$A$1:$I$89,5,0)</f>
        <v>99.537360000000007</v>
      </c>
      <c r="AK36" s="14">
        <f t="shared" si="35"/>
        <v>26.851750219979348</v>
      </c>
      <c r="AL36" s="22">
        <f t="shared" si="4"/>
        <v>220.12770029979734</v>
      </c>
      <c r="AM36" s="60">
        <f t="shared" si="5"/>
        <v>513.46103363313068</v>
      </c>
      <c r="AN36" s="60">
        <f ca="1">AVERAGE(OFFSET($AM$3,0,0,'Données projet'!$E$10+1,1))-AVERAGE(OFFSET($H$3,0,0,'Données projet'!$E$10+1,1))</f>
        <v>370.04285308422544</v>
      </c>
      <c r="AO36" s="60">
        <f t="shared" si="36"/>
        <v>218.53758068502731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9.3067916666666672</v>
      </c>
      <c r="BD36" s="13">
        <f>IF('Données projet'!$A$88&gt;35,BD35+BC36-BL35,IF(A36&lt;'Données projet'!$A$88,$BA$205^A36,IF(A36='Données projet'!$A$88,'Données projet'!$B$88,BD35+BC36-BL35)))</f>
        <v>277.12337499999995</v>
      </c>
      <c r="BE36" s="14">
        <f>BD36*VLOOKUP('Données projet'!$B$11,Paramètres!$A$1:$I$89,3,0)*VLOOKUP('Données projet'!$B$11,Paramètres!$A$1:$I$89,5,0)</f>
        <v>165.71977824999999</v>
      </c>
      <c r="BF36" s="14">
        <f t="shared" si="37"/>
        <v>42.129978236861426</v>
      </c>
      <c r="BG36" s="22">
        <f t="shared" si="7"/>
        <v>362.00499254795028</v>
      </c>
      <c r="BH36" s="60">
        <f t="shared" si="8"/>
        <v>655.33832588128359</v>
      </c>
      <c r="BI36" s="60">
        <f ca="1">AVERAGE(OFFSET($BH$3,0,0,'Données projet'!$E$11+1,1))-AVERAGE(OFFSET($H$3,0,0,'Données projet'!$E$11+1,1))</f>
        <v>225.82185458224626</v>
      </c>
      <c r="BJ36" s="60">
        <f t="shared" si="38"/>
        <v>363.02009369315243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6.4187667001600639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1.8698478643101162</v>
      </c>
      <c r="BS36" s="24">
        <f t="shared" si="9"/>
        <v>8.2886145644701799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74.271599999999978</v>
      </c>
      <c r="CA36" s="14">
        <f t="shared" si="39"/>
        <v>20.730561869473863</v>
      </c>
      <c r="CB36" s="22">
        <f t="shared" si="10"/>
        <v>165.46209858933358</v>
      </c>
      <c r="CC36" s="60">
        <f t="shared" si="11"/>
        <v>458.79543192266692</v>
      </c>
      <c r="CD36" s="60">
        <f ca="1">AVERAGE(OFFSET($CC$3,0,0,'Données projet'!$E$12+1,1))-AVERAGE(OFFSET($H$3,0,0,'Données projet'!$E$12+1,1))</f>
        <v>380.16582491288449</v>
      </c>
      <c r="CE36" s="60">
        <f t="shared" si="40"/>
        <v>166.97658184507776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66.736799999999988</v>
      </c>
      <c r="CV36" s="14">
        <f t="shared" si="41"/>
        <v>18.860852268900583</v>
      </c>
      <c r="CW36" s="22">
        <f t="shared" si="13"/>
        <v>149.0825777016685</v>
      </c>
      <c r="CX36" s="60">
        <f t="shared" si="14"/>
        <v>442.41591103500184</v>
      </c>
      <c r="CY36" s="60">
        <f ca="1">AVERAGE(OFFSET($CX$3,0,0,'Données projet'!$E$13+1,1))-AVERAGE(OFFSET($H$3,0,0,'Données projet'!$E$13+1,1))</f>
        <v>345.71694170753534</v>
      </c>
      <c r="CZ36" s="60">
        <f t="shared" si="42"/>
        <v>154.08406475869634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116.71919999999999</v>
      </c>
      <c r="P37" s="14">
        <f t="shared" si="33"/>
        <v>30.908576435525887</v>
      </c>
      <c r="Q37" s="22">
        <f t="shared" si="53"/>
        <v>257.1183772918742</v>
      </c>
      <c r="R37" s="60">
        <f t="shared" si="0"/>
        <v>550.45171062520751</v>
      </c>
      <c r="S37" s="60">
        <f ca="1">AVERAGE(OFFSET($R$3,0,0,'Données projet'!$E$9+1,1))-AVERAGE(OFFSET($H$3,0,0,'Données projet'!$E$9+1,1))</f>
        <v>430.21146937947236</v>
      </c>
      <c r="T37" s="60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6.2</v>
      </c>
      <c r="AI37" s="14">
        <f>IF('Données projet'!$A$62&gt;35,AI36+AH37-AQ36,IF(A37&lt;'Données projet'!$A$62,$AF$205^A37,IF(A37='Données projet'!$A$62,'Données projet'!$B$62,AI36+AH37-AQ36)))</f>
        <v>110.80000000000001</v>
      </c>
      <c r="AJ37" s="14">
        <f>AI37*VLOOKUP('Données projet'!$B$10,Paramètres!$A$1:$I$89,3,0)*VLOOKUP('Données projet'!$B$10,Paramètres!$A$1:$I$89,5,0)</f>
        <v>105.43728000000002</v>
      </c>
      <c r="AK37" s="14">
        <f t="shared" si="35"/>
        <v>28.253336010681878</v>
      </c>
      <c r="AL37" s="22">
        <f t="shared" si="4"/>
        <v>232.84448955193758</v>
      </c>
      <c r="AM37" s="60">
        <f t="shared" si="5"/>
        <v>526.17782288527087</v>
      </c>
      <c r="AN37" s="60">
        <f ca="1">AVERAGE(OFFSET($AM$3,0,0,'Données projet'!$E$10+1,1))-AVERAGE(OFFSET($H$3,0,0,'Données projet'!$E$10+1,1))</f>
        <v>370.04285308422544</v>
      </c>
      <c r="AO37" s="60">
        <f t="shared" si="36"/>
        <v>218.53758068502731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9.3067916666666672</v>
      </c>
      <c r="BD37" s="13">
        <f>IF('Données projet'!$A$88&gt;35,BD36+BC37-BL36,IF(A37&lt;'Données projet'!$A$88,$BA$205^A37,IF(A37='Données projet'!$A$88,'Données projet'!$B$88,BD36+BC37-BL36)))</f>
        <v>286.43016666666659</v>
      </c>
      <c r="BE37" s="14">
        <f>BD37*VLOOKUP('Données projet'!$B$11,Paramètres!$A$1:$I$89,3,0)*VLOOKUP('Données projet'!$B$11,Paramètres!$A$1:$I$89,5,0)</f>
        <v>171.28523966666666</v>
      </c>
      <c r="BF37" s="14">
        <f t="shared" si="37"/>
        <v>43.37774821521753</v>
      </c>
      <c r="BG37" s="22">
        <f t="shared" si="7"/>
        <v>373.87137056094826</v>
      </c>
      <c r="BH37" s="60">
        <f t="shared" si="8"/>
        <v>667.20470389428158</v>
      </c>
      <c r="BI37" s="60">
        <f ca="1">AVERAGE(OFFSET($BH$3,0,0,'Données projet'!$E$11+1,1))-AVERAGE(OFFSET($H$3,0,0,'Données projet'!$E$11+1,1))</f>
        <v>225.82185458224626</v>
      </c>
      <c r="BJ37" s="60">
        <f t="shared" si="38"/>
        <v>363.02009369315243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6.2928986002310321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1.3221821046408666</v>
      </c>
      <c r="BS37" s="24">
        <f t="shared" si="9"/>
        <v>7.6150807048718985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79.653599999999983</v>
      </c>
      <c r="CA37" s="14">
        <f t="shared" si="39"/>
        <v>22.052466149308238</v>
      </c>
      <c r="CB37" s="22">
        <f t="shared" si="10"/>
        <v>177.13806521004514</v>
      </c>
      <c r="CC37" s="60">
        <f t="shared" si="11"/>
        <v>470.47139854337843</v>
      </c>
      <c r="CD37" s="60">
        <f ca="1">AVERAGE(OFFSET($CC$3,0,0,'Données projet'!$E$12+1,1))-AVERAGE(OFFSET($H$3,0,0,'Données projet'!$E$12+1,1))</f>
        <v>380.16582491288449</v>
      </c>
      <c r="CE37" s="60">
        <f t="shared" si="40"/>
        <v>166.97658184507776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71.572799999999987</v>
      </c>
      <c r="CV37" s="14">
        <f t="shared" si="41"/>
        <v>20.063532712034</v>
      </c>
      <c r="CW37" s="22">
        <f t="shared" si="13"/>
        <v>159.59994614012587</v>
      </c>
      <c r="CX37" s="60">
        <f t="shared" si="14"/>
        <v>452.93327947345915</v>
      </c>
      <c r="CY37" s="60">
        <f ca="1">AVERAGE(OFFSET($CX$3,0,0,'Données projet'!$E$13+1,1))-AVERAGE(OFFSET($H$3,0,0,'Données projet'!$E$13+1,1))</f>
        <v>345.71694170753534</v>
      </c>
      <c r="CZ37" s="60">
        <f t="shared" si="42"/>
        <v>154.08406475869634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123.9576</v>
      </c>
      <c r="P38" s="14">
        <f t="shared" si="33"/>
        <v>32.59629414926458</v>
      </c>
      <c r="Q38" s="22">
        <f t="shared" si="53"/>
        <v>272.6646989766358</v>
      </c>
      <c r="R38" s="60">
        <f t="shared" si="0"/>
        <v>565.99803230996918</v>
      </c>
      <c r="S38" s="60">
        <f ca="1">AVERAGE(OFFSET($R$3,0,0,'Données projet'!$E$9+1,1))-AVERAGE(OFFSET($H$3,0,0,'Données projet'!$E$9+1,1))</f>
        <v>430.21146937947236</v>
      </c>
      <c r="T38" s="60">
        <f t="shared" si="34"/>
        <v>231.36959598460686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117</v>
      </c>
      <c r="AG38" s="13">
        <f>VLOOKUP(A38,'Données projet'!$A$61:$I$81,9,0)</f>
        <v>6.2</v>
      </c>
      <c r="AH38" s="13">
        <f t="array" ref="AH38">INDEX(AG:AG,MIN(IF(ISNUMBER(AG38:AG234),ROW(AG38:AG234),"")))</f>
        <v>6.2</v>
      </c>
      <c r="AI38" s="14">
        <f>IF('Données projet'!$A$62&gt;35,AI37+AH38-AQ37,IF(A38&lt;'Données projet'!$A$62,$AF$205^A38,IF(A38='Données projet'!$A$62,'Données projet'!$B$62,AI37+AH38-AQ37)))</f>
        <v>117.00000000000001</v>
      </c>
      <c r="AJ38" s="14">
        <f>AI38*VLOOKUP('Données projet'!$B$10,Paramètres!$A$1:$I$89,3,0)*VLOOKUP('Données projet'!$B$10,Paramètres!$A$1:$I$89,5,0)</f>
        <v>111.33720000000001</v>
      </c>
      <c r="AK38" s="14">
        <f t="shared" si="35"/>
        <v>29.645817422905342</v>
      </c>
      <c r="AL38" s="22">
        <f t="shared" si="4"/>
        <v>245.54542201156013</v>
      </c>
      <c r="AM38" s="60">
        <f t="shared" si="5"/>
        <v>538.87875534489342</v>
      </c>
      <c r="AN38" s="60">
        <f ca="1">AVERAGE(OFFSET($AM$3,0,0,'Données projet'!$E$10+1,1))-AVERAGE(OFFSET($H$3,0,0,'Données projet'!$E$10+1,1))</f>
        <v>370.04285308422544</v>
      </c>
      <c r="AO38" s="60">
        <f t="shared" si="36"/>
        <v>218.53758068502731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23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9.3067916666666672</v>
      </c>
      <c r="BD38" s="13">
        <f>IF('Données projet'!$A$88&gt;35,BD37+BC38-BL37,IF(A38&lt;'Données projet'!$A$88,$BA$205^A38,IF(A38='Données projet'!$A$88,'Données projet'!$B$88,BD37+BC38-BL37)))</f>
        <v>295.73695833333323</v>
      </c>
      <c r="BE38" s="14">
        <f>BD38*VLOOKUP('Données projet'!$B$11,Paramètres!$A$1:$I$89,3,0)*VLOOKUP('Données projet'!$B$11,Paramètres!$A$1:$I$89,5,0)</f>
        <v>176.85070108333329</v>
      </c>
      <c r="BF38" s="14">
        <f t="shared" si="37"/>
        <v>44.620807026848247</v>
      </c>
      <c r="BG38" s="22">
        <f t="shared" si="7"/>
        <v>385.72954329189952</v>
      </c>
      <c r="BH38" s="60">
        <f t="shared" si="8"/>
        <v>679.06287662523278</v>
      </c>
      <c r="BI38" s="60">
        <f ca="1">AVERAGE(OFFSET($BH$3,0,0,'Données projet'!$E$11+1,1))-AVERAGE(OFFSET($H$3,0,0,'Données projet'!$E$11+1,1))</f>
        <v>225.82185458224626</v>
      </c>
      <c r="BJ38" s="60">
        <f t="shared" si="38"/>
        <v>363.02009369315243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6.1694986969696481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0.9349239321550582</v>
      </c>
      <c r="BS38" s="24">
        <f t="shared" si="9"/>
        <v>7.1044226291247066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85.035599999999974</v>
      </c>
      <c r="CA38" s="14">
        <f t="shared" si="39"/>
        <v>23.364006286119412</v>
      </c>
      <c r="CB38" s="22">
        <f t="shared" si="10"/>
        <v>188.79598094832463</v>
      </c>
      <c r="CC38" s="60">
        <f t="shared" si="11"/>
        <v>482.12931428165791</v>
      </c>
      <c r="CD38" s="60">
        <f ca="1">AVERAGE(OFFSET($CC$3,0,0,'Données projet'!$E$12+1,1))-AVERAGE(OFFSET($H$3,0,0,'Données projet'!$E$12+1,1))</f>
        <v>380.16582491288449</v>
      </c>
      <c r="CE38" s="60">
        <f t="shared" si="40"/>
        <v>166.97658184507776</v>
      </c>
      <c r="CF38" s="16">
        <f>IF(ISNA(VLOOKUP(A38,'Données projet'!$A$113:$I$133,3,0)),0,VLOOKUP(A38,'Données projet'!$A$113:$I$133,3,0))</f>
        <v>1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76.408799999999985</v>
      </c>
      <c r="CV38" s="14">
        <f t="shared" si="41"/>
        <v>21.256783764315173</v>
      </c>
      <c r="CW38" s="22">
        <f t="shared" si="13"/>
        <v>170.1008917228489</v>
      </c>
      <c r="CX38" s="60">
        <f t="shared" si="14"/>
        <v>463.43422505618219</v>
      </c>
      <c r="CY38" s="60">
        <f ca="1">AVERAGE(OFFSET($CX$3,0,0,'Données projet'!$E$13+1,1))-AVERAGE(OFFSET($H$3,0,0,'Données projet'!$E$13+1,1))</f>
        <v>345.71694170753534</v>
      </c>
      <c r="CZ38" s="60">
        <f t="shared" si="42"/>
        <v>154.08406475869634</v>
      </c>
      <c r="DA38" s="16">
        <f>IF(ISNA(VLOOKUP(A38,'Données projet'!$A$139:$I$159,3,0)),0,VLOOKUP(A38,'Données projet'!$A$139:$I$159,3,0))</f>
        <v>1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0">
        <f t="shared" si="0"/>
        <v>500.55213023987449</v>
      </c>
      <c r="S39" s="60">
        <f ca="1">AVERAGE(OFFSET($R$3,0,0,'Données projet'!$E$9+1,1))-AVERAGE(OFFSET($H$3,0,0,'Données projet'!$E$9+1,1))</f>
        <v>430.21146937947236</v>
      </c>
      <c r="T39" s="60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6.2</v>
      </c>
      <c r="AI39" s="14">
        <f>IF('Données projet'!$A$62&gt;35,AI38+AH39-AQ38,IF(A39&lt;'Données projet'!$A$62,$AF$205^A39,IF(A39='Données projet'!$A$62,'Données projet'!$B$62,AI38+AH39-AQ38)))</f>
        <v>100.20000000000002</v>
      </c>
      <c r="AJ39" s="14">
        <f>AI39*VLOOKUP('Données projet'!$B$10,Paramètres!$A$1:$I$89,3,0)*VLOOKUP('Données projet'!$B$10,Paramètres!$A$1:$I$89,5,0)</f>
        <v>95.350320000000011</v>
      </c>
      <c r="AK39" s="14">
        <f t="shared" si="35"/>
        <v>25.851224601628289</v>
      </c>
      <c r="AL39" s="22">
        <f t="shared" si="4"/>
        <v>211.09269018116927</v>
      </c>
      <c r="AM39" s="60">
        <f t="shared" si="5"/>
        <v>504.42602351450262</v>
      </c>
      <c r="AN39" s="60">
        <f ca="1">AVERAGE(OFFSET($AM$3,0,0,'Données projet'!$E$10+1,1))-AVERAGE(OFFSET($H$3,0,0,'Données projet'!$E$10+1,1))</f>
        <v>370.04285308422544</v>
      </c>
      <c r="AO39" s="60">
        <f t="shared" si="36"/>
        <v>218.53758068502731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9.3067916666666672</v>
      </c>
      <c r="BD39" s="13">
        <f>IF('Données projet'!$A$88&gt;35,BD38+BC39-BL38,IF(A39&lt;'Données projet'!$A$88,$BA$205^A39,IF(A39='Données projet'!$A$88,'Données projet'!$B$88,BD38+BC39-BL38)))</f>
        <v>305.04374999999987</v>
      </c>
      <c r="BE39" s="14">
        <f>BD39*VLOOKUP('Données projet'!$B$11,Paramètres!$A$1:$I$89,3,0)*VLOOKUP('Données projet'!$B$11,Paramètres!$A$1:$I$89,5,0)</f>
        <v>182.41616249999996</v>
      </c>
      <c r="BF39" s="14">
        <f t="shared" si="37"/>
        <v>45.859319941362457</v>
      </c>
      <c r="BG39" s="22">
        <f t="shared" si="7"/>
        <v>397.57979858537283</v>
      </c>
      <c r="BH39" s="60">
        <f t="shared" si="8"/>
        <v>690.91313191870609</v>
      </c>
      <c r="BI39" s="60">
        <f ca="1">AVERAGE(OFFSET($BH$3,0,0,'Données projet'!$E$11+1,1))-AVERAGE(OFFSET($H$3,0,0,'Données projet'!$E$11+1,1))</f>
        <v>225.82185458224626</v>
      </c>
      <c r="BJ39" s="60">
        <f t="shared" si="38"/>
        <v>363.02009369315243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6.0485185905447105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0.66109105232043341</v>
      </c>
      <c r="BS39" s="24">
        <f t="shared" si="9"/>
        <v>6.7096096428651437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71.399999999999991</v>
      </c>
      <c r="BZ39" s="14">
        <f>BY39*VLOOKUP('Données projet'!$B$12,Paramètres!$A$1:$I$89,3,0)*VLOOKUP('Données projet'!$B$12,Paramètres!$A$1:$I$89,5,0)</f>
        <v>76.854959999999991</v>
      </c>
      <c r="CA39" s="14">
        <f t="shared" si="39"/>
        <v>21.366419773799993</v>
      </c>
      <c r="CB39" s="22">
        <f t="shared" si="10"/>
        <v>171.06890310603498</v>
      </c>
      <c r="CC39" s="60">
        <f t="shared" si="11"/>
        <v>464.40223643936827</v>
      </c>
      <c r="CD39" s="60">
        <f ca="1">AVERAGE(OFFSET($CC$3,0,0,'Données projet'!$E$12+1,1))-AVERAGE(OFFSET($H$3,0,0,'Données projet'!$E$12+1,1))</f>
        <v>380.16582491288449</v>
      </c>
      <c r="CE39" s="60">
        <f t="shared" si="40"/>
        <v>166.97658184507776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71.399999999999991</v>
      </c>
      <c r="CU39" s="18">
        <f>CT39*VLOOKUP('Données projet'!$B$13,Paramètres!$A$1:$I$89,3,0)*VLOOKUP('Données projet'!$B$13,Paramètres!$A$1:$I$89,5,0)</f>
        <v>69.05807999999999</v>
      </c>
      <c r="CV39" s="14">
        <f t="shared" si="41"/>
        <v>19.439361528467131</v>
      </c>
      <c r="CW39" s="22">
        <f t="shared" si="13"/>
        <v>154.13304399541357</v>
      </c>
      <c r="CX39" s="60">
        <f t="shared" si="14"/>
        <v>447.46637732874689</v>
      </c>
      <c r="CY39" s="60">
        <f ca="1">AVERAGE(OFFSET($CX$3,0,0,'Données projet'!$E$13+1,1))-AVERAGE(OFFSET($H$3,0,0,'Données projet'!$E$13+1,1))</f>
        <v>345.71694170753534</v>
      </c>
      <c r="CZ39" s="60">
        <f t="shared" si="42"/>
        <v>154.08406475869634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0">
        <f t="shared" si="0"/>
        <v>516.95289444408968</v>
      </c>
      <c r="S40" s="60">
        <f ca="1">AVERAGE(OFFSET($R$3,0,0,'Données projet'!$E$9+1,1))-AVERAGE(OFFSET($H$3,0,0,'Données projet'!$E$9+1,1))</f>
        <v>430.21146937947236</v>
      </c>
      <c r="T40" s="60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6.2</v>
      </c>
      <c r="AI40" s="14">
        <f>IF('Données projet'!$A$62&gt;35,AI39+AH40-AQ39,IF(A40&lt;'Données projet'!$A$62,$AF$205^A40,IF(A40='Données projet'!$A$62,'Données projet'!$B$62,AI39+AH40-AQ39)))</f>
        <v>106.40000000000002</v>
      </c>
      <c r="AJ40" s="14">
        <f>AI40*VLOOKUP('Données projet'!$B$10,Paramètres!$A$1:$I$89,3,0)*VLOOKUP('Données projet'!$B$10,Paramètres!$A$1:$I$89,5,0)</f>
        <v>101.25024000000002</v>
      </c>
      <c r="AK40" s="14">
        <f t="shared" si="35"/>
        <v>27.25963426043629</v>
      </c>
      <c r="AL40" s="22">
        <f t="shared" si="4"/>
        <v>223.82136433692654</v>
      </c>
      <c r="AM40" s="60">
        <f t="shared" si="5"/>
        <v>517.15469767025979</v>
      </c>
      <c r="AN40" s="60">
        <f ca="1">AVERAGE(OFFSET($AM$3,0,0,'Données projet'!$E$10+1,1))-AVERAGE(OFFSET($H$3,0,0,'Données projet'!$E$10+1,1))</f>
        <v>370.04285308422544</v>
      </c>
      <c r="AO40" s="60">
        <f t="shared" si="36"/>
        <v>218.53758068502731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9.3067916666666672</v>
      </c>
      <c r="BD40" s="13">
        <f>IF('Données projet'!$A$88&gt;35,BD39+BC40-BL39,IF(A40&lt;'Données projet'!$A$88,$BA$205^A40,IF(A40='Données projet'!$A$88,'Données projet'!$B$88,BD39+BC40-BL39)))</f>
        <v>314.35054166666652</v>
      </c>
      <c r="BE40" s="14">
        <f>BD40*VLOOKUP('Données projet'!$B$11,Paramètres!$A$1:$I$89,3,0)*VLOOKUP('Données projet'!$B$11,Paramètres!$A$1:$I$89,5,0)</f>
        <v>187.98162391666659</v>
      </c>
      <c r="BF40" s="14">
        <f t="shared" si="37"/>
        <v>47.093441570705579</v>
      </c>
      <c r="BG40" s="22">
        <f t="shared" si="7"/>
        <v>409.42240572383986</v>
      </c>
      <c r="BH40" s="60">
        <f t="shared" si="8"/>
        <v>702.75573905717317</v>
      </c>
      <c r="BI40" s="60">
        <f ca="1">AVERAGE(OFFSET($BH$3,0,0,'Données projet'!$E$11+1,1))-AVERAGE(OFFSET($H$3,0,0,'Données projet'!$E$11+1,1))</f>
        <v>225.82185458224626</v>
      </c>
      <c r="BJ40" s="60">
        <f t="shared" si="38"/>
        <v>363.02009369315243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5.9299108302161878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0.46746196607752916</v>
      </c>
      <c r="BS40" s="24">
        <f t="shared" si="9"/>
        <v>6.397372796293717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76.8</v>
      </c>
      <c r="BZ40" s="14">
        <f>BY40*VLOOKUP('Données projet'!$B$12,Paramètres!$A$1:$I$89,3,0)*VLOOKUP('Données projet'!$B$12,Paramètres!$A$1:$I$89,5,0)</f>
        <v>82.667519999999996</v>
      </c>
      <c r="CA40" s="14">
        <f t="shared" si="39"/>
        <v>22.788156353818806</v>
      </c>
      <c r="CB40" s="22">
        <f t="shared" si="10"/>
        <v>183.6686363162344</v>
      </c>
      <c r="CC40" s="60">
        <f t="shared" si="11"/>
        <v>477.00196964956774</v>
      </c>
      <c r="CD40" s="60">
        <f ca="1">AVERAGE(OFFSET($CC$3,0,0,'Données projet'!$E$12+1,1))-AVERAGE(OFFSET($H$3,0,0,'Données projet'!$E$12+1,1))</f>
        <v>380.16582491288449</v>
      </c>
      <c r="CE40" s="60">
        <f t="shared" si="40"/>
        <v>166.97658184507776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76.8</v>
      </c>
      <c r="CU40" s="18">
        <f>CT40*VLOOKUP('Données projet'!$B$13,Paramètres!$A$1:$I$89,3,0)*VLOOKUP('Données projet'!$B$13,Paramètres!$A$1:$I$89,5,0)</f>
        <v>74.280960000000007</v>
      </c>
      <c r="CV40" s="14">
        <f t="shared" si="41"/>
        <v>20.732870299230971</v>
      </c>
      <c r="CW40" s="22">
        <f t="shared" si="13"/>
        <v>165.48242110449394</v>
      </c>
      <c r="CX40" s="60">
        <f t="shared" si="14"/>
        <v>458.81575443782725</v>
      </c>
      <c r="CY40" s="60">
        <f ca="1">AVERAGE(OFFSET($CX$3,0,0,'Données projet'!$E$13+1,1))-AVERAGE(OFFSET($H$3,0,0,'Données projet'!$E$13+1,1))</f>
        <v>345.71694170753534</v>
      </c>
      <c r="CZ40" s="60">
        <f t="shared" si="42"/>
        <v>154.08406475869634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0">
        <f t="shared" si="0"/>
        <v>533.32608479725729</v>
      </c>
      <c r="S41" s="60">
        <f ca="1">AVERAGE(OFFSET($R$3,0,0,'Données projet'!$E$9+1,1))-AVERAGE(OFFSET($H$3,0,0,'Données projet'!$E$9+1,1))</f>
        <v>430.21146937947236</v>
      </c>
      <c r="T41" s="60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6.2</v>
      </c>
      <c r="AI41" s="14">
        <f>IF('Données projet'!$A$62&gt;35,AI40+AH41-AQ40,IF(A41&lt;'Données projet'!$A$62,$AF$205^A41,IF(A41='Données projet'!$A$62,'Données projet'!$B$62,AI40+AH41-AQ40)))</f>
        <v>112.60000000000002</v>
      </c>
      <c r="AJ41" s="14">
        <f>AI41*VLOOKUP('Données projet'!$B$10,Paramètres!$A$1:$I$89,3,0)*VLOOKUP('Données projet'!$B$10,Paramètres!$A$1:$I$89,5,0)</f>
        <v>107.15016000000001</v>
      </c>
      <c r="AK41" s="14">
        <f t="shared" si="35"/>
        <v>28.658517723314343</v>
      </c>
      <c r="AL41" s="22">
        <f t="shared" si="4"/>
        <v>236.53344703477251</v>
      </c>
      <c r="AM41" s="60">
        <f t="shared" si="5"/>
        <v>529.86678036810576</v>
      </c>
      <c r="AN41" s="60">
        <f ca="1">AVERAGE(OFFSET($AM$3,0,0,'Données projet'!$E$10+1,1))-AVERAGE(OFFSET($H$3,0,0,'Données projet'!$E$10+1,1))</f>
        <v>370.04285308422544</v>
      </c>
      <c r="AO41" s="60">
        <f t="shared" si="36"/>
        <v>218.53758068502731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9.3067916666666672</v>
      </c>
      <c r="BD41" s="13">
        <f>IF('Données projet'!$A$88&gt;35,BD40+BC41-BL40,IF(A41&lt;'Données projet'!$A$88,$BA$205^A41,IF(A41='Données projet'!$A$88,'Données projet'!$B$88,BD40+BC41-BL40)))</f>
        <v>323.65733333333316</v>
      </c>
      <c r="BE41" s="14">
        <f>BD41*VLOOKUP('Données projet'!$B$11,Paramètres!$A$1:$I$89,3,0)*VLOOKUP('Données projet'!$B$11,Paramètres!$A$1:$I$89,5,0)</f>
        <v>193.54708533333323</v>
      </c>
      <c r="BF41" s="14">
        <f t="shared" si="37"/>
        <v>48.323316851383872</v>
      </c>
      <c r="BG41" s="22">
        <f t="shared" si="7"/>
        <v>421.25761713838227</v>
      </c>
      <c r="BH41" s="60">
        <f t="shared" si="8"/>
        <v>714.59095047171559</v>
      </c>
      <c r="BI41" s="60">
        <f ca="1">AVERAGE(OFFSET($BH$3,0,0,'Données projet'!$E$11+1,1))-AVERAGE(OFFSET($H$3,0,0,'Données projet'!$E$11+1,1))</f>
        <v>225.82185458224626</v>
      </c>
      <c r="BJ41" s="60">
        <f t="shared" si="38"/>
        <v>363.02009369315243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5.8136288957241167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0.33054552616021671</v>
      </c>
      <c r="BS41" s="24">
        <f t="shared" si="9"/>
        <v>6.1441744218843333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82.2</v>
      </c>
      <c r="BZ41" s="14">
        <f>BY41*VLOOKUP('Données projet'!$B$12,Paramètres!$A$1:$I$89,3,0)*VLOOKUP('Données projet'!$B$12,Paramètres!$A$1:$I$89,5,0)</f>
        <v>88.480080000000001</v>
      </c>
      <c r="CA41" s="14">
        <f t="shared" si="39"/>
        <v>24.1982943117189</v>
      </c>
      <c r="CB41" s="22">
        <f t="shared" si="10"/>
        <v>196.24816859291039</v>
      </c>
      <c r="CC41" s="60">
        <f t="shared" si="11"/>
        <v>489.58150192624373</v>
      </c>
      <c r="CD41" s="60">
        <f ca="1">AVERAGE(OFFSET($CC$3,0,0,'Données projet'!$E$12+1,1))-AVERAGE(OFFSET($H$3,0,0,'Données projet'!$E$12+1,1))</f>
        <v>380.16582491288449</v>
      </c>
      <c r="CE41" s="60">
        <f t="shared" si="40"/>
        <v>166.97658184507776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82.2</v>
      </c>
      <c r="CU41" s="18">
        <f>CT41*VLOOKUP('Données projet'!$B$13,Paramètres!$A$1:$I$89,3,0)*VLOOKUP('Données projet'!$B$13,Paramètres!$A$1:$I$89,5,0)</f>
        <v>79.503839999999997</v>
      </c>
      <c r="CV41" s="14">
        <f t="shared" si="41"/>
        <v>22.015826538921051</v>
      </c>
      <c r="CW41" s="22">
        <f t="shared" si="13"/>
        <v>176.81341922195415</v>
      </c>
      <c r="CX41" s="60">
        <f t="shared" si="14"/>
        <v>470.14675255528743</v>
      </c>
      <c r="CY41" s="60">
        <f ca="1">AVERAGE(OFFSET($CX$3,0,0,'Données projet'!$E$13+1,1))-AVERAGE(OFFSET($H$3,0,0,'Données projet'!$E$13+1,1))</f>
        <v>345.71694170753534</v>
      </c>
      <c r="CZ41" s="60">
        <f t="shared" si="42"/>
        <v>154.08406475869634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0">
        <f t="shared" si="0"/>
        <v>549.67384744512105</v>
      </c>
      <c r="S42" s="60">
        <f ca="1">AVERAGE(OFFSET($R$3,0,0,'Données projet'!$E$9+1,1))-AVERAGE(OFFSET($H$3,0,0,'Données projet'!$E$9+1,1))</f>
        <v>430.21146937947236</v>
      </c>
      <c r="T42" s="60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6.2</v>
      </c>
      <c r="AI42" s="14">
        <f>IF('Données projet'!$A$62&gt;35,AI41+AH42-AQ41,IF(A42&lt;'Données projet'!$A$62,$AF$205^A42,IF(A42='Données projet'!$A$62,'Données projet'!$B$62,AI41+AH42-AQ41)))</f>
        <v>118.80000000000003</v>
      </c>
      <c r="AJ42" s="14">
        <f>AI42*VLOOKUP('Données projet'!$B$10,Paramètres!$A$1:$I$89,3,0)*VLOOKUP('Données projet'!$B$10,Paramètres!$A$1:$I$89,5,0)</f>
        <v>113.05008000000004</v>
      </c>
      <c r="AK42" s="14">
        <f t="shared" si="35"/>
        <v>30.048459312649666</v>
      </c>
      <c r="AL42" s="22">
        <f t="shared" si="4"/>
        <v>249.22995596953157</v>
      </c>
      <c r="AM42" s="60">
        <f t="shared" si="5"/>
        <v>542.56328930286486</v>
      </c>
      <c r="AN42" s="60">
        <f ca="1">AVERAGE(OFFSET($AM$3,0,0,'Données projet'!$E$10+1,1))-AVERAGE(OFFSET($H$3,0,0,'Données projet'!$E$10+1,1))</f>
        <v>370.04285308422544</v>
      </c>
      <c r="AO42" s="60">
        <f t="shared" si="36"/>
        <v>218.53758068502731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9.3067916666666672</v>
      </c>
      <c r="BD42" s="13">
        <f>IF('Données projet'!$A$88&gt;35,BD41+BC42-BL41,IF(A42&lt;'Données projet'!$A$88,$BA$205^A42,IF(A42='Données projet'!$A$88,'Données projet'!$B$88,BD41+BC42-BL41)))</f>
        <v>332.9641249999998</v>
      </c>
      <c r="BE42" s="14">
        <f>BD42*VLOOKUP('Données projet'!$B$11,Paramètres!$A$1:$I$89,3,0)*VLOOKUP('Données projet'!$B$11,Paramètres!$A$1:$I$89,5,0)</f>
        <v>199.11254674999989</v>
      </c>
      <c r="BF42" s="14">
        <f t="shared" si="37"/>
        <v>49.549081910538149</v>
      </c>
      <c r="BG42" s="22">
        <f t="shared" si="7"/>
        <v>433.08566991710376</v>
      </c>
      <c r="BH42" s="60">
        <f t="shared" si="8"/>
        <v>726.41900325043707</v>
      </c>
      <c r="BI42" s="60">
        <f ca="1">AVERAGE(OFFSET($BH$3,0,0,'Données projet'!$E$11+1,1))-AVERAGE(OFFSET($H$3,0,0,'Données projet'!$E$11+1,1))</f>
        <v>225.82185458224626</v>
      </c>
      <c r="BJ42" s="60">
        <f t="shared" si="38"/>
        <v>363.02009369315243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5.6996271790424586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0.23373098303876458</v>
      </c>
      <c r="BS42" s="24">
        <f t="shared" si="9"/>
        <v>5.9333581620812232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87.600000000000009</v>
      </c>
      <c r="BZ42" s="14">
        <f>BY42*VLOOKUP('Données projet'!$B$12,Paramètres!$A$1:$I$89,3,0)*VLOOKUP('Données projet'!$B$12,Paramètres!$A$1:$I$89,5,0)</f>
        <v>94.292640000000006</v>
      </c>
      <c r="CA42" s="14">
        <f t="shared" si="39"/>
        <v>25.597682308724192</v>
      </c>
      <c r="CB42" s="22">
        <f t="shared" si="10"/>
        <v>208.80897802102797</v>
      </c>
      <c r="CC42" s="60">
        <f t="shared" si="11"/>
        <v>502.14231135436125</v>
      </c>
      <c r="CD42" s="60">
        <f ca="1">AVERAGE(OFFSET($CC$3,0,0,'Données projet'!$E$12+1,1))-AVERAGE(OFFSET($H$3,0,0,'Données projet'!$E$12+1,1))</f>
        <v>380.16582491288449</v>
      </c>
      <c r="CE42" s="60">
        <f t="shared" si="40"/>
        <v>166.97658184507776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87.600000000000009</v>
      </c>
      <c r="CU42" s="18">
        <f>CT42*VLOOKUP('Données projet'!$B$13,Paramètres!$A$1:$I$89,3,0)*VLOOKUP('Données projet'!$B$13,Paramètres!$A$1:$I$89,5,0)</f>
        <v>84.726720000000014</v>
      </c>
      <c r="CV42" s="14">
        <f t="shared" si="41"/>
        <v>23.289002367177517</v>
      </c>
      <c r="CW42" s="22">
        <f t="shared" si="13"/>
        <v>188.1273831228342</v>
      </c>
      <c r="CX42" s="60">
        <f t="shared" si="14"/>
        <v>481.46071645616752</v>
      </c>
      <c r="CY42" s="60">
        <f ca="1">AVERAGE(OFFSET($CX$3,0,0,'Données projet'!$E$13+1,1))-AVERAGE(OFFSET($H$3,0,0,'Données projet'!$E$13+1,1))</f>
        <v>345.71694170753534</v>
      </c>
      <c r="CZ42" s="60">
        <f t="shared" si="42"/>
        <v>154.08406475869634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0">
        <f t="shared" si="0"/>
        <v>565.99803230996918</v>
      </c>
      <c r="S43" s="60">
        <f ca="1">AVERAGE(OFFSET($R$3,0,0,'Données projet'!$E$9+1,1))-AVERAGE(OFFSET($H$3,0,0,'Données projet'!$E$9+1,1))</f>
        <v>430.21146937947236</v>
      </c>
      <c r="T43" s="60">
        <f t="shared" si="34"/>
        <v>231.36959598460686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125</v>
      </c>
      <c r="AG43" s="13">
        <f>VLOOKUP(A43,'Données projet'!$A$61:$I$81,9,0)</f>
        <v>6.2</v>
      </c>
      <c r="AH43" s="13">
        <f t="array" ref="AH43">INDEX(AG:AG,MIN(IF(ISNUMBER(AG43:AG239),ROW(AG43:AG239),"")))</f>
        <v>6.2</v>
      </c>
      <c r="AI43" s="14">
        <f>IF('Données projet'!$A$62&gt;35,AI42+AH43-AQ42,IF(A43&lt;'Données projet'!$A$62,$AF$205^A43,IF(A43='Données projet'!$A$62,'Données projet'!$B$62,AI42+AH43-AQ42)))</f>
        <v>125.00000000000003</v>
      </c>
      <c r="AJ43" s="14">
        <f>AI43*VLOOKUP('Données projet'!$B$10,Paramètres!$A$1:$I$89,3,0)*VLOOKUP('Données projet'!$B$10,Paramètres!$A$1:$I$89,5,0)</f>
        <v>118.95000000000003</v>
      </c>
      <c r="AK43" s="14">
        <f t="shared" si="35"/>
        <v>31.429978916194532</v>
      </c>
      <c r="AL43" s="22">
        <f t="shared" si="4"/>
        <v>261.9117966123722</v>
      </c>
      <c r="AM43" s="60">
        <f t="shared" si="5"/>
        <v>555.24512994570546</v>
      </c>
      <c r="AN43" s="60">
        <f ca="1">AVERAGE(OFFSET($AM$3,0,0,'Données projet'!$E$10+1,1))-AVERAGE(OFFSET($H$3,0,0,'Données projet'!$E$10+1,1))</f>
        <v>370.04285308422544</v>
      </c>
      <c r="AO43" s="60">
        <f t="shared" si="36"/>
        <v>218.53758068502731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9.3067916666666672</v>
      </c>
      <c r="BD43" s="13">
        <f>IF('Données projet'!$A$88&gt;35,BD42+BC43-BL42,IF(A43&lt;'Données projet'!$A$88,$BA$205^A43,IF(A43='Données projet'!$A$88,'Données projet'!$B$88,BD42+BC43-BL42)))</f>
        <v>342.27091666666644</v>
      </c>
      <c r="BE43" s="14">
        <f>BD43*VLOOKUP('Données projet'!$B$11,Paramètres!$A$1:$I$89,3,0)*VLOOKUP('Données projet'!$B$11,Paramètres!$A$1:$I$89,5,0)</f>
        <v>204.67800816666653</v>
      </c>
      <c r="BF43" s="14">
        <f t="shared" si="37"/>
        <v>50.770864832463019</v>
      </c>
      <c r="BG43" s="22">
        <f t="shared" si="7"/>
        <v>444.90678714015058</v>
      </c>
      <c r="BH43" s="60">
        <f t="shared" si="8"/>
        <v>738.2401204734839</v>
      </c>
      <c r="BI43" s="60">
        <f ca="1">AVERAGE(OFFSET($BH$3,0,0,'Données projet'!$E$11+1,1))-AVERAGE(OFFSET($H$3,0,0,'Données projet'!$E$11+1,1))</f>
        <v>225.82185458224626</v>
      </c>
      <c r="BJ43" s="60">
        <f t="shared" si="38"/>
        <v>363.02009369315243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5.5878609664907462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0.16527276308010835</v>
      </c>
      <c r="BS43" s="24">
        <f t="shared" si="9"/>
        <v>5.7531337295708544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93.000000000000014</v>
      </c>
      <c r="BZ43" s="14">
        <f>BY43*VLOOKUP('Données projet'!$B$12,Paramètres!$A$1:$I$89,3,0)*VLOOKUP('Données projet'!$B$12,Paramètres!$A$1:$I$89,5,0)</f>
        <v>100.10520000000001</v>
      </c>
      <c r="CA43" s="14">
        <f t="shared" si="39"/>
        <v>26.987058463795307</v>
      </c>
      <c r="CB43" s="22">
        <f t="shared" si="10"/>
        <v>221.35235015777684</v>
      </c>
      <c r="CC43" s="60">
        <f t="shared" si="11"/>
        <v>514.68568349111013</v>
      </c>
      <c r="CD43" s="60">
        <f ca="1">AVERAGE(OFFSET($CC$3,0,0,'Données projet'!$E$12+1,1))-AVERAGE(OFFSET($H$3,0,0,'Données projet'!$E$12+1,1))</f>
        <v>380.16582491288449</v>
      </c>
      <c r="CE43" s="60">
        <f t="shared" si="40"/>
        <v>166.97658184507776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93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93.000000000000014</v>
      </c>
      <c r="CU43" s="18">
        <f>CT43*VLOOKUP('Données projet'!$B$13,Paramètres!$A$1:$I$89,3,0)*VLOOKUP('Données projet'!$B$13,Paramètres!$A$1:$I$89,5,0)</f>
        <v>89.949600000000018</v>
      </c>
      <c r="CV43" s="14">
        <f t="shared" si="41"/>
        <v>24.553069331291834</v>
      </c>
      <c r="CW43" s="22">
        <f t="shared" si="13"/>
        <v>199.42548241866663</v>
      </c>
      <c r="CX43" s="60">
        <f t="shared" si="14"/>
        <v>492.75881575199992</v>
      </c>
      <c r="CY43" s="60">
        <f ca="1">AVERAGE(OFFSET($CX$3,0,0,'Données projet'!$E$13+1,1))-AVERAGE(OFFSET($H$3,0,0,'Données projet'!$E$13+1,1))</f>
        <v>345.71694170753534</v>
      </c>
      <c r="CZ43" s="60">
        <f t="shared" si="42"/>
        <v>154.08406475869634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131.55792000000002</v>
      </c>
      <c r="P44" s="14">
        <f t="shared" si="33"/>
        <v>34.3560989338864</v>
      </c>
      <c r="Q44" s="22">
        <f t="shared" si="53"/>
        <v>288.96691630985219</v>
      </c>
      <c r="R44" s="60">
        <f t="shared" si="0"/>
        <v>582.30024964318545</v>
      </c>
      <c r="S44" s="60">
        <f ca="1">AVERAGE(OFFSET($R$3,0,0,'Données projet'!$E$9+1,1))-AVERAGE(OFFSET($H$3,0,0,'Données projet'!$E$9+1,1))</f>
        <v>430.21146937947236</v>
      </c>
      <c r="T44" s="60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6.2</v>
      </c>
      <c r="AI44" s="14">
        <f>IF('Données projet'!$A$62&gt;35,AI43+AH44-AQ43,IF(A44&lt;'Données projet'!$A$62,$AF$205^A44,IF(A44='Données projet'!$A$62,'Données projet'!$B$62,AI43+AH44-AQ43)))</f>
        <v>131.20000000000002</v>
      </c>
      <c r="AJ44" s="14">
        <f>AI44*VLOOKUP('Données projet'!$B$10,Paramètres!$A$1:$I$89,3,0)*VLOOKUP('Données projet'!$B$10,Paramètres!$A$1:$I$89,5,0)</f>
        <v>124.84992000000003</v>
      </c>
      <c r="AK44" s="14">
        <f t="shared" si="35"/>
        <v>32.803541935396296</v>
      </c>
      <c r="AL44" s="22">
        <f t="shared" si="4"/>
        <v>274.5797795374819</v>
      </c>
      <c r="AM44" s="60">
        <f t="shared" si="5"/>
        <v>567.91311287081521</v>
      </c>
      <c r="AN44" s="60">
        <f ca="1">AVERAGE(OFFSET($AM$3,0,0,'Données projet'!$E$10+1,1))-AVERAGE(OFFSET($H$3,0,0,'Données projet'!$E$10+1,1))</f>
        <v>370.04285308422544</v>
      </c>
      <c r="AO44" s="60">
        <f t="shared" si="36"/>
        <v>218.53758068502731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9.3067916666666672</v>
      </c>
      <c r="BD44" s="13">
        <f>IF('Données projet'!$A$88&gt;35,BD43+BC44-BL43,IF(A44&lt;'Données projet'!$A$88,$BA$205^A44,IF(A44='Données projet'!$A$88,'Données projet'!$B$88,BD43+BC44-BL43)))</f>
        <v>351.57770833333308</v>
      </c>
      <c r="BE44" s="14">
        <f>BD44*VLOOKUP('Données projet'!$B$11,Paramètres!$A$1:$I$89,3,0)*VLOOKUP('Données projet'!$B$11,Paramètres!$A$1:$I$89,5,0)</f>
        <v>210.24346958333322</v>
      </c>
      <c r="BF44" s="14">
        <f t="shared" si="37"/>
        <v>51.988786339411718</v>
      </c>
      <c r="BG44" s="22">
        <f t="shared" si="7"/>
        <v>456.72117906544736</v>
      </c>
      <c r="BH44" s="60">
        <f t="shared" si="8"/>
        <v>750.05451239878062</v>
      </c>
      <c r="BI44" s="60">
        <f ca="1">AVERAGE(OFFSET($BH$3,0,0,'Données projet'!$E$11+1,1))-AVERAGE(OFFSET($H$3,0,0,'Données projet'!$E$11+1,1))</f>
        <v>225.82185458224626</v>
      </c>
      <c r="BJ44" s="60">
        <f t="shared" si="38"/>
        <v>363.02009369315243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5.4782864211965148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0.11686549151938229</v>
      </c>
      <c r="BS44" s="24">
        <f t="shared" si="9"/>
        <v>5.5951519127158971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98.600000000000009</v>
      </c>
      <c r="BZ44" s="14">
        <f>BY44*VLOOKUP('Données projet'!$B$12,Paramètres!$A$1:$I$89,3,0)*VLOOKUP('Données projet'!$B$12,Paramètres!$A$1:$I$89,5,0)</f>
        <v>106.13304000000001</v>
      </c>
      <c r="CA44" s="14">
        <f t="shared" si="39"/>
        <v>28.418009728368016</v>
      </c>
      <c r="CB44" s="22">
        <f t="shared" si="10"/>
        <v>234.34307827690762</v>
      </c>
      <c r="CC44" s="60">
        <f t="shared" si="11"/>
        <v>527.67641161024096</v>
      </c>
      <c r="CD44" s="60">
        <f ca="1">AVERAGE(OFFSET($CC$3,0,0,'Données projet'!$E$12+1,1))-AVERAGE(OFFSET($H$3,0,0,'Données projet'!$E$12+1,1))</f>
        <v>380.16582491288449</v>
      </c>
      <c r="CE44" s="60">
        <f t="shared" si="40"/>
        <v>166.97658184507776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98.600000000000009</v>
      </c>
      <c r="CU44" s="18">
        <f>CT44*VLOOKUP('Données projet'!$B$13,Paramètres!$A$1:$I$89,3,0)*VLOOKUP('Données projet'!$B$13,Paramètres!$A$1:$I$89,5,0)</f>
        <v>95.365920000000017</v>
      </c>
      <c r="CV44" s="14">
        <f t="shared" si="41"/>
        <v>25.854961705219438</v>
      </c>
      <c r="CW44" s="22">
        <f t="shared" si="13"/>
        <v>211.12636896992387</v>
      </c>
      <c r="CX44" s="60">
        <f t="shared" si="14"/>
        <v>504.45970230325719</v>
      </c>
      <c r="CY44" s="60">
        <f ca="1">AVERAGE(OFFSET($CX$3,0,0,'Données projet'!$E$13+1,1))-AVERAGE(OFFSET($H$3,0,0,'Données projet'!$E$13+1,1))</f>
        <v>345.71694170753534</v>
      </c>
      <c r="CZ44" s="60">
        <f t="shared" si="42"/>
        <v>154.08406475869634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139.15824000000003</v>
      </c>
      <c r="P45" s="14">
        <f t="shared" si="33"/>
        <v>36.104102468715482</v>
      </c>
      <c r="Q45" s="22">
        <f t="shared" si="53"/>
        <v>305.24857979967953</v>
      </c>
      <c r="R45" s="60">
        <f t="shared" si="0"/>
        <v>598.5819131330129</v>
      </c>
      <c r="S45" s="60">
        <f ca="1">AVERAGE(OFFSET($R$3,0,0,'Données projet'!$E$9+1,1))-AVERAGE(OFFSET($H$3,0,0,'Données projet'!$E$9+1,1))</f>
        <v>430.21146937947236</v>
      </c>
      <c r="T45" s="60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6.2</v>
      </c>
      <c r="AI45" s="14">
        <f>IF('Données projet'!$A$62&gt;35,AI44+AH45-AQ44,IF(A45&lt;'Données projet'!$A$62,$AF$205^A45,IF(A45='Données projet'!$A$62,'Données projet'!$B$62,AI44+AH45-AQ44)))</f>
        <v>137.4</v>
      </c>
      <c r="AJ45" s="14">
        <f>AI45*VLOOKUP('Données projet'!$B$10,Paramètres!$A$1:$I$89,3,0)*VLOOKUP('Données projet'!$B$10,Paramètres!$A$1:$I$89,5,0)</f>
        <v>130.74984000000001</v>
      </c>
      <c r="AK45" s="14">
        <f t="shared" si="35"/>
        <v>34.169567299991897</v>
      </c>
      <c r="AL45" s="22">
        <f t="shared" si="4"/>
        <v>287.23463438081922</v>
      </c>
      <c r="AM45" s="60">
        <f t="shared" si="5"/>
        <v>580.56796771415247</v>
      </c>
      <c r="AN45" s="60">
        <f ca="1">AVERAGE(OFFSET($AM$3,0,0,'Données projet'!$E$10+1,1))-AVERAGE(OFFSET($H$3,0,0,'Données projet'!$E$10+1,1))</f>
        <v>370.04285308422544</v>
      </c>
      <c r="AO45" s="60">
        <f t="shared" si="36"/>
        <v>218.53758068502731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360.8845</v>
      </c>
      <c r="BB45" s="13">
        <f>VLOOKUP(A45,'Données projet'!$A$87:$I$107,9,0)</f>
        <v>9.3067916666666672</v>
      </c>
      <c r="BC45" s="13">
        <f t="array" ref="BC45">INDEX(BB:BB,MIN(IF(ISNUMBER(BB45:BB241),ROW(BB45:BB241),"")))</f>
        <v>9.3067916666666672</v>
      </c>
      <c r="BD45" s="13">
        <f>IF('Données projet'!$A$88&gt;35,BD44+BC45-BL44,IF(A45&lt;'Données projet'!$A$88,$BA$205^A45,IF(A45='Données projet'!$A$88,'Données projet'!$B$88,BD44+BC45-BL44)))</f>
        <v>360.88449999999972</v>
      </c>
      <c r="BE45" s="14">
        <f>BD45*VLOOKUP('Données projet'!$B$11,Paramètres!$A$1:$I$89,3,0)*VLOOKUP('Données projet'!$B$11,Paramètres!$A$1:$I$89,5,0)</f>
        <v>215.80893099999986</v>
      </c>
      <c r="BF45" s="14">
        <f t="shared" si="37"/>
        <v>53.202960398285519</v>
      </c>
      <c r="BG45" s="22">
        <f t="shared" si="7"/>
        <v>468.52904418534712</v>
      </c>
      <c r="BH45" s="60">
        <f t="shared" si="8"/>
        <v>761.86237751868043</v>
      </c>
      <c r="BI45" s="60">
        <f ca="1">AVERAGE(OFFSET($BH$3,0,0,'Données projet'!$E$11+1,1))-AVERAGE(OFFSET($H$3,0,0,'Données projet'!$E$11+1,1))</f>
        <v>225.82185458224626</v>
      </c>
      <c r="BJ45" s="60">
        <f t="shared" si="38"/>
        <v>363.02009369315243</v>
      </c>
      <c r="BK45" s="16">
        <f>IF(ISNA(VLOOKUP(A45,'Données projet'!$A$87:$I$107,3,0)),0,VLOOKUP(A45,'Données projet'!$A$87:$I$107,3,0))</f>
        <v>4</v>
      </c>
      <c r="BL45" s="16">
        <f>IF(ISNA(VLOOKUP(A45,'Données projet'!$A$87:$I$107,4,0)),0,VLOOKUP(A45,'Données projet'!$A$87:$I$107,4,0))</f>
        <v>360.8845</v>
      </c>
      <c r="BM45" s="17">
        <f>IF(ISNA(VLOOKUP(A45,'Données projet'!$A$87:$I$107,5,0)),0%,VLOOKUP(A45,'Données projet'!$A$87:$I$107,5,0)*VLOOKUP('Données projet'!$B$11,Paramètres!$A$1:$I$89,7,0))</f>
        <v>0.27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0.4</v>
      </c>
      <c r="BP45" s="23">
        <f>EXP(-LN(2)/35)*BP44+(1-EXP(-LN(2)/35))/(LN(2)/35)*BL45*BM45*VLOOKUP('Données projet'!$B$11,Paramètres!$A$1:$I$89,3,0)*0.475*44/12</f>
        <v>82.667663964272776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97.820973090684262</v>
      </c>
      <c r="BS45" s="24">
        <f t="shared" si="9"/>
        <v>180.48863705495705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104.2</v>
      </c>
      <c r="BZ45" s="14">
        <f>BY45*VLOOKUP('Données projet'!$B$12,Paramètres!$A$1:$I$89,3,0)*VLOOKUP('Données projet'!$B$12,Paramètres!$A$1:$I$89,5,0)</f>
        <v>112.16087999999999</v>
      </c>
      <c r="CA45" s="14">
        <f t="shared" si="39"/>
        <v>29.839526888181876</v>
      </c>
      <c r="CB45" s="22">
        <f t="shared" si="10"/>
        <v>247.31737533025003</v>
      </c>
      <c r="CC45" s="60">
        <f t="shared" si="11"/>
        <v>540.65070866358337</v>
      </c>
      <c r="CD45" s="60">
        <f ca="1">AVERAGE(OFFSET($CC$3,0,0,'Données projet'!$E$12+1,1))-AVERAGE(OFFSET($H$3,0,0,'Données projet'!$E$12+1,1))</f>
        <v>380.16582491288449</v>
      </c>
      <c r="CE45" s="60">
        <f t="shared" si="40"/>
        <v>166.97658184507776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104.2</v>
      </c>
      <c r="CU45" s="18">
        <f>CT45*VLOOKUP('Données projet'!$B$13,Paramètres!$A$1:$I$89,3,0)*VLOOKUP('Données projet'!$B$13,Paramètres!$A$1:$I$89,5,0)</f>
        <v>100.78224</v>
      </c>
      <c r="CV45" s="14">
        <f t="shared" si="41"/>
        <v>27.148270845500655</v>
      </c>
      <c r="CW45" s="22">
        <f t="shared" si="13"/>
        <v>222.81230638924697</v>
      </c>
      <c r="CX45" s="60">
        <f t="shared" si="14"/>
        <v>516.14563972258031</v>
      </c>
      <c r="CY45" s="60">
        <f ca="1">AVERAGE(OFFSET($CX$3,0,0,'Données projet'!$E$13+1,1))-AVERAGE(OFFSET($H$3,0,0,'Données projet'!$E$13+1,1))</f>
        <v>345.71694170753534</v>
      </c>
      <c r="CZ45" s="60">
        <f t="shared" si="42"/>
        <v>154.08406475869634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146.75856000000005</v>
      </c>
      <c r="P46" s="14">
        <f t="shared" si="33"/>
        <v>37.841022770456242</v>
      </c>
      <c r="Q46" s="22">
        <f t="shared" si="53"/>
        <v>321.51093999187805</v>
      </c>
      <c r="R46" s="60">
        <f t="shared" si="0"/>
        <v>614.84427332521136</v>
      </c>
      <c r="S46" s="60">
        <f ca="1">AVERAGE(OFFSET($R$3,0,0,'Données projet'!$E$9+1,1))-AVERAGE(OFFSET($H$3,0,0,'Données projet'!$E$9+1,1))</f>
        <v>430.21146937947236</v>
      </c>
      <c r="T46" s="60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6.2</v>
      </c>
      <c r="AI46" s="14">
        <f>IF('Données projet'!$A$62&gt;35,AI45+AH46-AQ45,IF(A46&lt;'Données projet'!$A$62,$AF$205^A46,IF(A46='Données projet'!$A$62,'Données projet'!$B$62,AI45+AH46-AQ45)))</f>
        <v>143.6</v>
      </c>
      <c r="AJ46" s="14">
        <f>AI46*VLOOKUP('Données projet'!$B$10,Paramètres!$A$1:$I$89,3,0)*VLOOKUP('Données projet'!$B$10,Paramètres!$A$1:$I$89,5,0)</f>
        <v>136.64975999999999</v>
      </c>
      <c r="AK46" s="14">
        <f t="shared" si="35"/>
        <v>35.528433995130584</v>
      </c>
      <c r="AL46" s="22">
        <f t="shared" si="4"/>
        <v>299.87702120818574</v>
      </c>
      <c r="AM46" s="60">
        <f t="shared" si="5"/>
        <v>593.21035454151911</v>
      </c>
      <c r="AN46" s="60">
        <f ca="1">AVERAGE(OFFSET($AM$3,0,0,'Données projet'!$E$10+1,1))-AVERAGE(OFFSET($H$3,0,0,'Données projet'!$E$10+1,1))</f>
        <v>370.04285308422544</v>
      </c>
      <c r="AO46" s="60">
        <f t="shared" si="36"/>
        <v>218.53758068502731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-2.8421709430404007E-13</v>
      </c>
      <c r="BE46" s="14">
        <f>BD46*VLOOKUP('Données projet'!$B$11,Paramètres!$A$1:$I$89,3,0)*VLOOKUP('Données projet'!$B$11,Paramètres!$A$1:$I$89,5,0)</f>
        <v>-1.69961822393816E-13</v>
      </c>
      <c r="BF46" s="14" t="e">
        <f t="shared" si="37"/>
        <v>#NUM!</v>
      </c>
      <c r="BG46" s="22" t="e">
        <f t="shared" si="7"/>
        <v>#NUM!</v>
      </c>
      <c r="BH46" s="60" t="e">
        <f t="shared" si="8"/>
        <v>#NUM!</v>
      </c>
      <c r="BI46" s="60">
        <f ca="1">AVERAGE(OFFSET($BH$3,0,0,'Données projet'!$E$11+1,1))-AVERAGE(OFFSET($H$3,0,0,'Données projet'!$E$11+1,1))</f>
        <v>225.82185458224626</v>
      </c>
      <c r="BJ46" s="60">
        <f t="shared" si="38"/>
        <v>363.02009369315243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81.046601496229613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69.169873414689633</v>
      </c>
      <c r="BS46" s="24">
        <f t="shared" si="9"/>
        <v>150.21647491091926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109.8</v>
      </c>
      <c r="BZ46" s="14">
        <f>BY46*VLOOKUP('Données projet'!$B$12,Paramètres!$A$1:$I$89,3,0)*VLOOKUP('Données projet'!$B$12,Paramètres!$A$1:$I$89,5,0)</f>
        <v>118.18871999999999</v>
      </c>
      <c r="CA46" s="14">
        <f t="shared" si="39"/>
        <v>31.252174766242543</v>
      </c>
      <c r="CB46" s="22">
        <f t="shared" si="10"/>
        <v>260.27622505120576</v>
      </c>
      <c r="CC46" s="60">
        <f t="shared" si="11"/>
        <v>553.60955838453901</v>
      </c>
      <c r="CD46" s="60">
        <f ca="1">AVERAGE(OFFSET($CC$3,0,0,'Données projet'!$E$12+1,1))-AVERAGE(OFFSET($H$3,0,0,'Données projet'!$E$12+1,1))</f>
        <v>380.16582491288449</v>
      </c>
      <c r="CE46" s="60">
        <f t="shared" si="40"/>
        <v>166.97658184507776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109.8</v>
      </c>
      <c r="CU46" s="18">
        <f>CT46*VLOOKUP('Données projet'!$B$13,Paramètres!$A$1:$I$89,3,0)*VLOOKUP('Données projet'!$B$13,Paramètres!$A$1:$I$89,5,0)</f>
        <v>106.19855999999999</v>
      </c>
      <c r="CV46" s="14">
        <f t="shared" si="41"/>
        <v>28.433510633203252</v>
      </c>
      <c r="CW46" s="22">
        <f t="shared" si="13"/>
        <v>234.48418968616227</v>
      </c>
      <c r="CX46" s="60">
        <f t="shared" si="14"/>
        <v>527.81752301949564</v>
      </c>
      <c r="CY46" s="60">
        <f ca="1">AVERAGE(OFFSET($CX$3,0,0,'Données projet'!$E$13+1,1))-AVERAGE(OFFSET($H$3,0,0,'Données projet'!$E$13+1,1))</f>
        <v>345.71694170753534</v>
      </c>
      <c r="CZ46" s="60">
        <f t="shared" si="42"/>
        <v>154.08406475869634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0">
        <f t="shared" si="0"/>
        <v>631.08844392332617</v>
      </c>
      <c r="S47" s="60">
        <f ca="1">AVERAGE(OFFSET($R$3,0,0,'Données projet'!$E$9+1,1))-AVERAGE(OFFSET($H$3,0,0,'Données projet'!$E$9+1,1))</f>
        <v>430.21146937947236</v>
      </c>
      <c r="T47" s="60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6.2</v>
      </c>
      <c r="AI47" s="14">
        <f>IF('Données projet'!$A$62&gt;35,AI46+AH47-AQ46,IF(A47&lt;'Données projet'!$A$62,$AF$205^A47,IF(A47='Données projet'!$A$62,'Données projet'!$B$62,AI46+AH47-AQ46)))</f>
        <v>149.79999999999998</v>
      </c>
      <c r="AJ47" s="14">
        <f>AI47*VLOOKUP('Données projet'!$B$10,Paramètres!$A$1:$I$89,3,0)*VLOOKUP('Données projet'!$B$10,Paramètres!$A$1:$I$89,5,0)</f>
        <v>142.54968</v>
      </c>
      <c r="AK47" s="14">
        <f t="shared" si="35"/>
        <v>36.880486429449853</v>
      </c>
      <c r="AL47" s="22">
        <f t="shared" si="4"/>
        <v>312.50753986462513</v>
      </c>
      <c r="AM47" s="60">
        <f t="shared" si="5"/>
        <v>605.84087319795844</v>
      </c>
      <c r="AN47" s="60">
        <f ca="1">AVERAGE(OFFSET($AM$3,0,0,'Données projet'!$E$10+1,1))-AVERAGE(OFFSET($H$3,0,0,'Données projet'!$E$10+1,1))</f>
        <v>370.04285308422544</v>
      </c>
      <c r="AO47" s="60">
        <f t="shared" si="36"/>
        <v>218.53758068502731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-2.8421709430404007E-13</v>
      </c>
      <c r="BE47" s="14">
        <f>BD47*VLOOKUP('Données projet'!$B$11,Paramètres!$A$1:$I$89,3,0)*VLOOKUP('Données projet'!$B$11,Paramètres!$A$1:$I$89,5,0)</f>
        <v>-1.69961822393816E-13</v>
      </c>
      <c r="BF47" s="14" t="e">
        <f t="shared" si="37"/>
        <v>#NUM!</v>
      </c>
      <c r="BG47" s="22" t="e">
        <f t="shared" si="7"/>
        <v>#NUM!</v>
      </c>
      <c r="BH47" s="60" t="e">
        <f t="shared" si="8"/>
        <v>#NUM!</v>
      </c>
      <c r="BI47" s="60">
        <f ca="1">AVERAGE(OFFSET($BH$3,0,0,'Données projet'!$E$11+1,1))-AVERAGE(OFFSET($H$3,0,0,'Données projet'!$E$11+1,1))</f>
        <v>225.82185458224626</v>
      </c>
      <c r="BJ47" s="60">
        <f t="shared" si="38"/>
        <v>363.02009369315243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79.457327074434303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48.910486545342138</v>
      </c>
      <c r="BS47" s="24">
        <f t="shared" si="9"/>
        <v>128.36781361977643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115.39999999999999</v>
      </c>
      <c r="BZ47" s="14">
        <f>BY47*VLOOKUP('Données projet'!$B$12,Paramètres!$A$1:$I$89,3,0)*VLOOKUP('Données projet'!$B$12,Paramètres!$A$1:$I$89,5,0)</f>
        <v>124.21655999999999</v>
      </c>
      <c r="CA47" s="14">
        <f t="shared" si="39"/>
        <v>32.656457317237347</v>
      </c>
      <c r="CB47" s="22">
        <f t="shared" si="10"/>
        <v>273.220505160855</v>
      </c>
      <c r="CC47" s="60">
        <f t="shared" si="11"/>
        <v>566.55383849418831</v>
      </c>
      <c r="CD47" s="60">
        <f ca="1">AVERAGE(OFFSET($CC$3,0,0,'Données projet'!$E$12+1,1))-AVERAGE(OFFSET($H$3,0,0,'Données projet'!$E$12+1,1))</f>
        <v>380.16582491288449</v>
      </c>
      <c r="CE47" s="60">
        <f t="shared" si="40"/>
        <v>166.97658184507776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115.39999999999999</v>
      </c>
      <c r="CU47" s="18">
        <f>CT47*VLOOKUP('Données projet'!$B$13,Paramètres!$A$1:$I$89,3,0)*VLOOKUP('Données projet'!$B$13,Paramètres!$A$1:$I$89,5,0)</f>
        <v>111.61487999999999</v>
      </c>
      <c r="CV47" s="14">
        <f t="shared" si="41"/>
        <v>29.711139570849653</v>
      </c>
      <c r="CW47" s="22">
        <f t="shared" si="13"/>
        <v>246.14281741922977</v>
      </c>
      <c r="CX47" s="60">
        <f t="shared" si="14"/>
        <v>539.47615075256306</v>
      </c>
      <c r="CY47" s="60">
        <f ca="1">AVERAGE(OFFSET($CX$3,0,0,'Données projet'!$E$13+1,1))-AVERAGE(OFFSET($H$3,0,0,'Données projet'!$E$13+1,1))</f>
        <v>345.71694170753534</v>
      </c>
      <c r="CZ47" s="60">
        <f t="shared" si="42"/>
        <v>154.08406475869634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161.95920000000004</v>
      </c>
      <c r="P48" s="14">
        <f t="shared" si="33"/>
        <v>41.284104935125725</v>
      </c>
      <c r="Q48" s="22">
        <f t="shared" si="53"/>
        <v>353.9820894286774</v>
      </c>
      <c r="R48" s="60">
        <f t="shared" si="0"/>
        <v>647.31542276201071</v>
      </c>
      <c r="S48" s="60">
        <f ca="1">AVERAGE(OFFSET($R$3,0,0,'Données projet'!$E$9+1,1))-AVERAGE(OFFSET($H$3,0,0,'Données projet'!$E$9+1,1))</f>
        <v>430.21146937947236</v>
      </c>
      <c r="T48" s="60">
        <f t="shared" si="34"/>
        <v>231.36959598460686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156</v>
      </c>
      <c r="AG48" s="13">
        <f>VLOOKUP(A48,'Données projet'!$A$61:$I$81,9,0)</f>
        <v>6.2</v>
      </c>
      <c r="AH48" s="13">
        <f t="array" ref="AH48">INDEX(AG:AG,MIN(IF(ISNUMBER(AG48:AG244),ROW(AG48:AG244),"")))</f>
        <v>6.2</v>
      </c>
      <c r="AI48" s="14">
        <f>IF('Données projet'!$A$62&gt;35,AI47+AH48-AQ47,IF(A48&lt;'Données projet'!$A$62,$AF$205^A48,IF(A48='Données projet'!$A$62,'Données projet'!$B$62,AI47+AH48-AQ47)))</f>
        <v>155.99999999999997</v>
      </c>
      <c r="AJ48" s="14">
        <f>AI48*VLOOKUP('Données projet'!$B$10,Paramètres!$A$1:$I$89,3,0)*VLOOKUP('Données projet'!$B$10,Paramètres!$A$1:$I$89,5,0)</f>
        <v>148.44959999999998</v>
      </c>
      <c r="AK48" s="14">
        <f t="shared" si="35"/>
        <v>38.226038889407498</v>
      </c>
      <c r="AL48" s="22">
        <f t="shared" si="4"/>
        <v>325.1267377323847</v>
      </c>
      <c r="AM48" s="60">
        <f t="shared" si="5"/>
        <v>618.46007106571801</v>
      </c>
      <c r="AN48" s="60">
        <f ca="1">AVERAGE(OFFSET($AM$3,0,0,'Données projet'!$E$10+1,1))-AVERAGE(OFFSET($H$3,0,0,'Données projet'!$E$10+1,1))</f>
        <v>370.04285308422544</v>
      </c>
      <c r="AO48" s="60">
        <f t="shared" si="36"/>
        <v>218.53758068502731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27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-2.8421709430404007E-13</v>
      </c>
      <c r="BE48" s="14">
        <f>BD48*VLOOKUP('Données projet'!$B$11,Paramètres!$A$1:$I$89,3,0)*VLOOKUP('Données projet'!$B$11,Paramètres!$A$1:$I$89,5,0)</f>
        <v>-1.69961822393816E-13</v>
      </c>
      <c r="BF48" s="14" t="e">
        <f t="shared" si="37"/>
        <v>#NUM!</v>
      </c>
      <c r="BG48" s="22" t="e">
        <f t="shared" si="7"/>
        <v>#NUM!</v>
      </c>
      <c r="BH48" s="60" t="e">
        <f t="shared" si="8"/>
        <v>#NUM!</v>
      </c>
      <c r="BI48" s="60">
        <f ca="1">AVERAGE(OFFSET($BH$3,0,0,'Données projet'!$E$11+1,1))-AVERAGE(OFFSET($H$3,0,0,'Données projet'!$E$11+1,1))</f>
        <v>225.82185458224626</v>
      </c>
      <c r="BJ48" s="60">
        <f t="shared" si="38"/>
        <v>363.02009369315243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77.899217354688716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34.584936707344824</v>
      </c>
      <c r="BS48" s="24">
        <f t="shared" si="9"/>
        <v>112.48415406203354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121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120.99999999999999</v>
      </c>
      <c r="BZ48" s="14">
        <f>BY48*VLOOKUP('Données projet'!$B$12,Paramètres!$A$1:$I$89,3,0)*VLOOKUP('Données projet'!$B$12,Paramètres!$A$1:$I$89,5,0)</f>
        <v>130.24439999999998</v>
      </c>
      <c r="CA48" s="14">
        <f t="shared" si="39"/>
        <v>34.052826821785409</v>
      </c>
      <c r="CB48" s="22">
        <f t="shared" si="10"/>
        <v>286.15100338127621</v>
      </c>
      <c r="CC48" s="60">
        <f t="shared" si="11"/>
        <v>579.48433671460953</v>
      </c>
      <c r="CD48" s="60">
        <f ca="1">AVERAGE(OFFSET($CC$3,0,0,'Données projet'!$E$12+1,1))-AVERAGE(OFFSET($H$3,0,0,'Données projet'!$E$12+1,1))</f>
        <v>380.16582491288449</v>
      </c>
      <c r="CE48" s="60">
        <f t="shared" si="40"/>
        <v>166.97658184507776</v>
      </c>
      <c r="CF48" s="16">
        <f>IF(ISNA(VLOOKUP(A48,'Données projet'!$A$113:$I$133,3,0)),0,VLOOKUP(A48,'Données projet'!$A$113:$I$133,3,0))</f>
        <v>2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121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120.99999999999999</v>
      </c>
      <c r="CU48" s="18">
        <f>CT48*VLOOKUP('Données projet'!$B$13,Paramètres!$A$1:$I$89,3,0)*VLOOKUP('Données projet'!$B$13,Paramètres!$A$1:$I$89,5,0)</f>
        <v>117.0312</v>
      </c>
      <c r="CV48" s="14">
        <f t="shared" si="41"/>
        <v>30.981569147428527</v>
      </c>
      <c r="CW48" s="22">
        <f t="shared" si="13"/>
        <v>257.78890626510469</v>
      </c>
      <c r="CX48" s="60">
        <f t="shared" si="14"/>
        <v>551.122239598438</v>
      </c>
      <c r="CY48" s="60">
        <f ca="1">AVERAGE(OFFSET($CX$3,0,0,'Données projet'!$E$13+1,1))-AVERAGE(OFFSET($H$3,0,0,'Données projet'!$E$13+1,1))</f>
        <v>345.71694170753534</v>
      </c>
      <c r="CZ48" s="60">
        <f t="shared" si="42"/>
        <v>154.08406475869634</v>
      </c>
      <c r="DA48" s="16">
        <f>IF(ISNA(VLOOKUP(A48,'Données projet'!$A$139:$I$159,3,0)),0,VLOOKUP(A48,'Données projet'!$A$139:$I$159,3,0))</f>
        <v>2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0">
        <f t="shared" si="0"/>
        <v>581.91234573782231</v>
      </c>
      <c r="S49" s="60">
        <f ca="1">AVERAGE(OFFSET($R$3,0,0,'Données projet'!$E$9+1,1))-AVERAGE(OFFSET($H$3,0,0,'Données projet'!$E$9+1,1))</f>
        <v>430.21146937947236</v>
      </c>
      <c r="T49" s="60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</v>
      </c>
      <c r="AI49" s="14">
        <f>IF('Données projet'!$A$62&gt;35,AI48+AH49-AQ48,IF(A49&lt;'Données projet'!$A$62,$AF$205^A49,IF(A49='Données projet'!$A$62,'Données projet'!$B$62,AI48+AH49-AQ48)))</f>
        <v>134.99999999999997</v>
      </c>
      <c r="AJ49" s="14">
        <f>AI49*VLOOKUP('Données projet'!$B$10,Paramètres!$A$1:$I$89,3,0)*VLOOKUP('Données projet'!$B$10,Paramètres!$A$1:$I$89,5,0)</f>
        <v>128.46599999999998</v>
      </c>
      <c r="AK49" s="14">
        <f t="shared" si="35"/>
        <v>33.64165246545825</v>
      </c>
      <c r="AL49" s="22">
        <f t="shared" si="4"/>
        <v>282.33749471067301</v>
      </c>
      <c r="AM49" s="60">
        <f t="shared" si="5"/>
        <v>575.67082804400638</v>
      </c>
      <c r="AN49" s="60">
        <f ca="1">AVERAGE(OFFSET($AM$3,0,0,'Données projet'!$E$10+1,1))-AVERAGE(OFFSET($H$3,0,0,'Données projet'!$E$10+1,1))</f>
        <v>370.04285308422544</v>
      </c>
      <c r="AO49" s="60">
        <f t="shared" si="36"/>
        <v>218.53758068502731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-2.8421709430404007E-13</v>
      </c>
      <c r="BE49" s="14">
        <f>BD49*VLOOKUP('Données projet'!$B$11,Paramètres!$A$1:$I$89,3,0)*VLOOKUP('Données projet'!$B$11,Paramètres!$A$1:$I$89,5,0)</f>
        <v>-1.69961822393816E-13</v>
      </c>
      <c r="BF49" s="14" t="e">
        <f t="shared" si="37"/>
        <v>#NUM!</v>
      </c>
      <c r="BG49" s="22" t="e">
        <f t="shared" si="7"/>
        <v>#NUM!</v>
      </c>
      <c r="BH49" s="60" t="e">
        <f t="shared" si="8"/>
        <v>#NUM!</v>
      </c>
      <c r="BI49" s="60">
        <f ca="1">AVERAGE(OFFSET($BH$3,0,0,'Données projet'!$E$11+1,1))-AVERAGE(OFFSET($H$3,0,0,'Données projet'!$E$11+1,1))</f>
        <v>225.82185458224626</v>
      </c>
      <c r="BJ49" s="60">
        <f t="shared" si="38"/>
        <v>363.02009369315243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76.371661216194255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24.455243272671073</v>
      </c>
      <c r="BS49" s="24">
        <f t="shared" si="9"/>
        <v>100.82690448886532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98.59999999999998</v>
      </c>
      <c r="BZ49" s="14">
        <f>BY49*VLOOKUP('Données projet'!$B$12,Paramètres!$A$1:$I$89,3,0)*VLOOKUP('Données projet'!$B$12,Paramètres!$A$1:$I$89,5,0)</f>
        <v>106.13303999999997</v>
      </c>
      <c r="CA49" s="14">
        <f t="shared" si="39"/>
        <v>28.418009728368016</v>
      </c>
      <c r="CB49" s="22">
        <f t="shared" si="10"/>
        <v>234.34307827690756</v>
      </c>
      <c r="CC49" s="60">
        <f t="shared" si="11"/>
        <v>527.67641161024085</v>
      </c>
      <c r="CD49" s="60">
        <f ca="1">AVERAGE(OFFSET($CC$3,0,0,'Données projet'!$E$12+1,1))-AVERAGE(OFFSET($H$3,0,0,'Données projet'!$E$12+1,1))</f>
        <v>380.16582491288449</v>
      </c>
      <c r="CE49" s="60">
        <f t="shared" si="40"/>
        <v>166.97658184507776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98.59999999999998</v>
      </c>
      <c r="CU49" s="18">
        <f>CT49*VLOOKUP('Données projet'!$B$13,Paramètres!$A$1:$I$89,3,0)*VLOOKUP('Données projet'!$B$13,Paramètres!$A$1:$I$89,5,0)</f>
        <v>95.365919999999974</v>
      </c>
      <c r="CV49" s="14">
        <f t="shared" si="41"/>
        <v>25.854961705219438</v>
      </c>
      <c r="CW49" s="22">
        <f t="shared" si="13"/>
        <v>211.12636896992379</v>
      </c>
      <c r="CX49" s="60">
        <f t="shared" si="14"/>
        <v>504.45970230325713</v>
      </c>
      <c r="CY49" s="60">
        <f ca="1">AVERAGE(OFFSET($CX$3,0,0,'Données projet'!$E$13+1,1))-AVERAGE(OFFSET($H$3,0,0,'Données projet'!$E$13+1,1))</f>
        <v>345.71694170753534</v>
      </c>
      <c r="CZ49" s="60">
        <f t="shared" si="42"/>
        <v>154.08406475869634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0">
        <f t="shared" si="0"/>
        <v>597.80704287706749</v>
      </c>
      <c r="S50" s="60">
        <f ca="1">AVERAGE(OFFSET($R$3,0,0,'Données projet'!$E$9+1,1))-AVERAGE(OFFSET($H$3,0,0,'Données projet'!$E$9+1,1))</f>
        <v>430.21146937947236</v>
      </c>
      <c r="T50" s="60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</v>
      </c>
      <c r="AI50" s="14">
        <f>IF('Données projet'!$A$62&gt;35,AI49+AH50-AQ49,IF(A50&lt;'Données projet'!$A$62,$AF$205^A50,IF(A50='Données projet'!$A$62,'Données projet'!$B$62,AI49+AH50-AQ49)))</f>
        <v>140.99999999999997</v>
      </c>
      <c r="AJ50" s="14">
        <f>AI50*VLOOKUP('Données projet'!$B$10,Paramètres!$A$1:$I$89,3,0)*VLOOKUP('Données projet'!$B$10,Paramètres!$A$1:$I$89,5,0)</f>
        <v>134.17559999999997</v>
      </c>
      <c r="AK50" s="14">
        <f t="shared" si="35"/>
        <v>34.959435402722733</v>
      </c>
      <c r="AL50" s="22">
        <f t="shared" si="4"/>
        <v>294.5768533264087</v>
      </c>
      <c r="AM50" s="60">
        <f t="shared" si="5"/>
        <v>587.91018665974207</v>
      </c>
      <c r="AN50" s="60">
        <f ca="1">AVERAGE(OFFSET($AM$3,0,0,'Données projet'!$E$10+1,1))-AVERAGE(OFFSET($H$3,0,0,'Données projet'!$E$10+1,1))</f>
        <v>370.04285308422544</v>
      </c>
      <c r="AO50" s="60">
        <f t="shared" si="36"/>
        <v>218.53758068502731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-2.8421709430404007E-13</v>
      </c>
      <c r="BE50" s="14">
        <f>BD50*VLOOKUP('Données projet'!$B$11,Paramètres!$A$1:$I$89,3,0)*VLOOKUP('Données projet'!$B$11,Paramètres!$A$1:$I$89,5,0)</f>
        <v>-1.69961822393816E-13</v>
      </c>
      <c r="BF50" s="14" t="e">
        <f t="shared" si="37"/>
        <v>#NUM!</v>
      </c>
      <c r="BG50" s="22" t="e">
        <f t="shared" si="7"/>
        <v>#NUM!</v>
      </c>
      <c r="BH50" s="60" t="e">
        <f t="shared" si="8"/>
        <v>#NUM!</v>
      </c>
      <c r="BI50" s="60">
        <f ca="1">AVERAGE(OFFSET($BH$3,0,0,'Données projet'!$E$11+1,1))-AVERAGE(OFFSET($H$3,0,0,'Données projet'!$E$11+1,1))</f>
        <v>225.82185458224626</v>
      </c>
      <c r="BJ50" s="60">
        <f t="shared" si="38"/>
        <v>363.02009369315243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74.874059521858428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17.292468353672415</v>
      </c>
      <c r="BS50" s="24">
        <f t="shared" si="9"/>
        <v>92.166527875530846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104.19999999999997</v>
      </c>
      <c r="BZ50" s="14">
        <f>BY50*VLOOKUP('Données projet'!$B$12,Paramètres!$A$1:$I$89,3,0)*VLOOKUP('Données projet'!$B$12,Paramètres!$A$1:$I$89,5,0)</f>
        <v>112.16087999999998</v>
      </c>
      <c r="CA50" s="14">
        <f t="shared" si="39"/>
        <v>29.839526888181876</v>
      </c>
      <c r="CB50" s="22">
        <f t="shared" si="10"/>
        <v>247.31737533025003</v>
      </c>
      <c r="CC50" s="60">
        <f t="shared" si="11"/>
        <v>540.65070866358337</v>
      </c>
      <c r="CD50" s="60">
        <f ca="1">AVERAGE(OFFSET($CC$3,0,0,'Données projet'!$E$12+1,1))-AVERAGE(OFFSET($H$3,0,0,'Données projet'!$E$12+1,1))</f>
        <v>380.16582491288449</v>
      </c>
      <c r="CE50" s="60">
        <f t="shared" si="40"/>
        <v>166.97658184507776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104.19999999999997</v>
      </c>
      <c r="CU50" s="18">
        <f>CT50*VLOOKUP('Données projet'!$B$13,Paramètres!$A$1:$I$89,3,0)*VLOOKUP('Données projet'!$B$13,Paramètres!$A$1:$I$89,5,0)</f>
        <v>100.78223999999997</v>
      </c>
      <c r="CV50" s="14">
        <f t="shared" si="41"/>
        <v>27.148270845500655</v>
      </c>
      <c r="CW50" s="22">
        <f t="shared" si="13"/>
        <v>222.81230638924691</v>
      </c>
      <c r="CX50" s="60">
        <f t="shared" si="14"/>
        <v>516.1456397225802</v>
      </c>
      <c r="CY50" s="60">
        <f ca="1">AVERAGE(OFFSET($CX$3,0,0,'Données projet'!$E$13+1,1))-AVERAGE(OFFSET($H$3,0,0,'Données projet'!$E$13+1,1))</f>
        <v>345.71694170753534</v>
      </c>
      <c r="CZ50" s="60">
        <f t="shared" si="42"/>
        <v>154.08406475869634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0">
        <f t="shared" si="0"/>
        <v>613.68329187962263</v>
      </c>
      <c r="S51" s="60">
        <f ca="1">AVERAGE(OFFSET($R$3,0,0,'Données projet'!$E$9+1,1))-AVERAGE(OFFSET($H$3,0,0,'Données projet'!$E$9+1,1))</f>
        <v>430.21146937947236</v>
      </c>
      <c r="T51" s="60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</v>
      </c>
      <c r="AI51" s="14">
        <f>IF('Données projet'!$A$62&gt;35,AI50+AH51-AQ50,IF(A51&lt;'Données projet'!$A$62,$AF$205^A51,IF(A51='Données projet'!$A$62,'Données projet'!$B$62,AI50+AH51-AQ50)))</f>
        <v>146.99999999999997</v>
      </c>
      <c r="AJ51" s="14">
        <f>AI51*VLOOKUP('Données projet'!$B$10,Paramètres!$A$1:$I$89,3,0)*VLOOKUP('Données projet'!$B$10,Paramètres!$A$1:$I$89,5,0)</f>
        <v>139.8852</v>
      </c>
      <c r="AK51" s="14">
        <f t="shared" si="35"/>
        <v>36.2707051716027</v>
      </c>
      <c r="AL51" s="22">
        <f t="shared" si="4"/>
        <v>306.80486817387464</v>
      </c>
      <c r="AM51" s="60">
        <f t="shared" si="5"/>
        <v>600.1382015072079</v>
      </c>
      <c r="AN51" s="60">
        <f ca="1">AVERAGE(OFFSET($AM$3,0,0,'Données projet'!$E$10+1,1))-AVERAGE(OFFSET($H$3,0,0,'Données projet'!$E$10+1,1))</f>
        <v>370.04285308422544</v>
      </c>
      <c r="AO51" s="60">
        <f t="shared" si="36"/>
        <v>218.53758068502731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-2.8421709430404007E-13</v>
      </c>
      <c r="BE51" s="14">
        <f>BD51*VLOOKUP('Données projet'!$B$11,Paramètres!$A$1:$I$89,3,0)*VLOOKUP('Données projet'!$B$11,Paramètres!$A$1:$I$89,5,0)</f>
        <v>-1.69961822393816E-13</v>
      </c>
      <c r="BF51" s="14" t="e">
        <f t="shared" si="37"/>
        <v>#NUM!</v>
      </c>
      <c r="BG51" s="22" t="e">
        <f t="shared" si="7"/>
        <v>#NUM!</v>
      </c>
      <c r="BH51" s="60" t="e">
        <f t="shared" si="8"/>
        <v>#NUM!</v>
      </c>
      <c r="BI51" s="60">
        <f ca="1">AVERAGE(OFFSET($BH$3,0,0,'Données projet'!$E$11+1,1))-AVERAGE(OFFSET($H$3,0,0,'Données projet'!$E$11+1,1))</f>
        <v>225.82185458224626</v>
      </c>
      <c r="BJ51" s="60">
        <f t="shared" si="38"/>
        <v>363.02009369315243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73.40582488330169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12.22762163633554</v>
      </c>
      <c r="BS51" s="24">
        <f t="shared" si="9"/>
        <v>85.633446519637232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109.79999999999997</v>
      </c>
      <c r="BZ51" s="14">
        <f>BY51*VLOOKUP('Données projet'!$B$12,Paramètres!$A$1:$I$89,3,0)*VLOOKUP('Données projet'!$B$12,Paramètres!$A$1:$I$89,5,0)</f>
        <v>118.18871999999996</v>
      </c>
      <c r="CA51" s="14">
        <f t="shared" si="39"/>
        <v>31.252174766242543</v>
      </c>
      <c r="CB51" s="22">
        <f t="shared" si="10"/>
        <v>260.2762250512057</v>
      </c>
      <c r="CC51" s="60">
        <f t="shared" si="11"/>
        <v>553.60955838453901</v>
      </c>
      <c r="CD51" s="60">
        <f ca="1">AVERAGE(OFFSET($CC$3,0,0,'Données projet'!$E$12+1,1))-AVERAGE(OFFSET($H$3,0,0,'Données projet'!$E$12+1,1))</f>
        <v>380.16582491288449</v>
      </c>
      <c r="CE51" s="60">
        <f t="shared" si="40"/>
        <v>166.97658184507776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109.79999999999997</v>
      </c>
      <c r="CU51" s="18">
        <f>CT51*VLOOKUP('Données projet'!$B$13,Paramètres!$A$1:$I$89,3,0)*VLOOKUP('Données projet'!$B$13,Paramètres!$A$1:$I$89,5,0)</f>
        <v>106.19855999999997</v>
      </c>
      <c r="CV51" s="14">
        <f t="shared" si="41"/>
        <v>28.433510633203252</v>
      </c>
      <c r="CW51" s="22">
        <f t="shared" si="13"/>
        <v>234.48418968616227</v>
      </c>
      <c r="CX51" s="60">
        <f t="shared" si="14"/>
        <v>527.81752301949564</v>
      </c>
      <c r="CY51" s="60">
        <f ca="1">AVERAGE(OFFSET($CX$3,0,0,'Données projet'!$E$13+1,1))-AVERAGE(OFFSET($H$3,0,0,'Données projet'!$E$13+1,1))</f>
        <v>345.71694170753534</v>
      </c>
      <c r="CZ51" s="60">
        <f t="shared" si="42"/>
        <v>154.08406475869634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0">
        <f t="shared" si="0"/>
        <v>629.54213565092948</v>
      </c>
      <c r="S52" s="60">
        <f ca="1">AVERAGE(OFFSET($R$3,0,0,'Données projet'!$E$9+1,1))-AVERAGE(OFFSET($H$3,0,0,'Données projet'!$E$9+1,1))</f>
        <v>430.21146937947236</v>
      </c>
      <c r="T52" s="60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</v>
      </c>
      <c r="AI52" s="14">
        <f>IF('Données projet'!$A$62&gt;35,AI51+AH52-AQ51,IF(A52&lt;'Données projet'!$A$62,$AF$205^A52,IF(A52='Données projet'!$A$62,'Données projet'!$B$62,AI51+AH52-AQ51)))</f>
        <v>152.99999999999997</v>
      </c>
      <c r="AJ52" s="14">
        <f>AI52*VLOOKUP('Données projet'!$B$10,Paramètres!$A$1:$I$89,3,0)*VLOOKUP('Données projet'!$B$10,Paramètres!$A$1:$I$89,5,0)</f>
        <v>145.59479999999999</v>
      </c>
      <c r="AK52" s="14">
        <f t="shared" si="35"/>
        <v>37.575758023691719</v>
      </c>
      <c r="AL52" s="22">
        <f t="shared" si="4"/>
        <v>319.02205522459639</v>
      </c>
      <c r="AM52" s="60">
        <f t="shared" si="5"/>
        <v>612.3553885579297</v>
      </c>
      <c r="AN52" s="60">
        <f ca="1">AVERAGE(OFFSET($AM$3,0,0,'Données projet'!$E$10+1,1))-AVERAGE(OFFSET($H$3,0,0,'Données projet'!$E$10+1,1))</f>
        <v>370.04285308422544</v>
      </c>
      <c r="AO52" s="60">
        <f t="shared" si="36"/>
        <v>218.53758068502731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-2.8421709430404007E-13</v>
      </c>
      <c r="BE52" s="14">
        <f>BD52*VLOOKUP('Données projet'!$B$11,Paramètres!$A$1:$I$89,3,0)*VLOOKUP('Données projet'!$B$11,Paramètres!$A$1:$I$89,5,0)</f>
        <v>-1.69961822393816E-13</v>
      </c>
      <c r="BF52" s="14" t="e">
        <f t="shared" si="37"/>
        <v>#NUM!</v>
      </c>
      <c r="BG52" s="22" t="e">
        <f t="shared" si="7"/>
        <v>#NUM!</v>
      </c>
      <c r="BH52" s="60" t="e">
        <f t="shared" si="8"/>
        <v>#NUM!</v>
      </c>
      <c r="BI52" s="60">
        <f ca="1">AVERAGE(OFFSET($BH$3,0,0,'Données projet'!$E$11+1,1))-AVERAGE(OFFSET($H$3,0,0,'Données projet'!$E$11+1,1))</f>
        <v>225.82185458224626</v>
      </c>
      <c r="BJ52" s="60">
        <f t="shared" si="38"/>
        <v>363.02009369315243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71.966381430472339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8.6462341768362094</v>
      </c>
      <c r="BS52" s="24">
        <f t="shared" si="9"/>
        <v>80.612615607308555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115.39999999999996</v>
      </c>
      <c r="BZ52" s="14">
        <f>BY52*VLOOKUP('Données projet'!$B$12,Paramètres!$A$1:$I$89,3,0)*VLOOKUP('Données projet'!$B$12,Paramètres!$A$1:$I$89,5,0)</f>
        <v>124.21655999999994</v>
      </c>
      <c r="CA52" s="14">
        <f t="shared" si="39"/>
        <v>32.656457317237347</v>
      </c>
      <c r="CB52" s="22">
        <f t="shared" si="10"/>
        <v>273.220505160855</v>
      </c>
      <c r="CC52" s="60">
        <f t="shared" si="11"/>
        <v>566.55383849418831</v>
      </c>
      <c r="CD52" s="60">
        <f ca="1">AVERAGE(OFFSET($CC$3,0,0,'Données projet'!$E$12+1,1))-AVERAGE(OFFSET($H$3,0,0,'Données projet'!$E$12+1,1))</f>
        <v>380.16582491288449</v>
      </c>
      <c r="CE52" s="60">
        <f t="shared" si="40"/>
        <v>166.97658184507776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115.39999999999996</v>
      </c>
      <c r="CU52" s="18">
        <f>CT52*VLOOKUP('Données projet'!$B$13,Paramètres!$A$1:$I$89,3,0)*VLOOKUP('Données projet'!$B$13,Paramètres!$A$1:$I$89,5,0)</f>
        <v>111.61487999999996</v>
      </c>
      <c r="CV52" s="14">
        <f t="shared" si="41"/>
        <v>29.711139570849625</v>
      </c>
      <c r="CW52" s="22">
        <f t="shared" si="13"/>
        <v>246.14281741922969</v>
      </c>
      <c r="CX52" s="60">
        <f t="shared" si="14"/>
        <v>539.47615075256294</v>
      </c>
      <c r="CY52" s="60">
        <f ca="1">AVERAGE(OFFSET($CX$3,0,0,'Données projet'!$E$13+1,1))-AVERAGE(OFFSET($H$3,0,0,'Données projet'!$E$13+1,1))</f>
        <v>345.71694170753534</v>
      </c>
      <c r="CZ52" s="60">
        <f t="shared" si="42"/>
        <v>154.08406475869634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0">
        <f t="shared" si="0"/>
        <v>645.38451067704386</v>
      </c>
      <c r="S53" s="60">
        <f ca="1">AVERAGE(OFFSET($R$3,0,0,'Données projet'!$E$9+1,1))-AVERAGE(OFFSET($H$3,0,0,'Données projet'!$E$9+1,1))</f>
        <v>430.21146937947236</v>
      </c>
      <c r="T53" s="60">
        <f t="shared" si="34"/>
        <v>231.36959598460686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159</v>
      </c>
      <c r="AG53" s="13">
        <f>VLOOKUP(A53,'Données projet'!$A$61:$I$81,9,0)</f>
        <v>6</v>
      </c>
      <c r="AH53" s="13">
        <f t="array" ref="AH53">INDEX(AG:AG,MIN(IF(ISNUMBER(AG53:AG249),ROW(AG53:AG249),"")))</f>
        <v>6</v>
      </c>
      <c r="AI53" s="14">
        <f>IF('Données projet'!$A$62&gt;35,AI52+AH53-AQ52,IF(A53&lt;'Données projet'!$A$62,$AF$205^A53,IF(A53='Données projet'!$A$62,'Données projet'!$B$62,AI52+AH53-AQ52)))</f>
        <v>158.99999999999997</v>
      </c>
      <c r="AJ53" s="14">
        <f>AI53*VLOOKUP('Données projet'!$B$10,Paramètres!$A$1:$I$89,3,0)*VLOOKUP('Données projet'!$B$10,Paramètres!$A$1:$I$89,5,0)</f>
        <v>151.30439999999999</v>
      </c>
      <c r="AK53" s="14">
        <f t="shared" si="35"/>
        <v>38.874865659640861</v>
      </c>
      <c r="AL53" s="22">
        <f t="shared" si="4"/>
        <v>331.22888769054117</v>
      </c>
      <c r="AM53" s="60">
        <f t="shared" si="5"/>
        <v>624.56222102387449</v>
      </c>
      <c r="AN53" s="60">
        <f ca="1">AVERAGE(OFFSET($AM$3,0,0,'Données projet'!$E$10+1,1))-AVERAGE(OFFSET($H$3,0,0,'Données projet'!$E$10+1,1))</f>
        <v>370.04285308422544</v>
      </c>
      <c r="AO53" s="60">
        <f t="shared" si="36"/>
        <v>218.53758068502731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-2.8421709430404007E-13</v>
      </c>
      <c r="BE53" s="14">
        <f>BD53*VLOOKUP('Données projet'!$B$11,Paramètres!$A$1:$I$89,3,0)*VLOOKUP('Données projet'!$B$11,Paramètres!$A$1:$I$89,5,0)</f>
        <v>-1.69961822393816E-13</v>
      </c>
      <c r="BF53" s="14" t="e">
        <f t="shared" si="37"/>
        <v>#NUM!</v>
      </c>
      <c r="BG53" s="22" t="e">
        <f t="shared" si="7"/>
        <v>#NUM!</v>
      </c>
      <c r="BH53" s="60" t="e">
        <f t="shared" si="8"/>
        <v>#NUM!</v>
      </c>
      <c r="BI53" s="60">
        <f ca="1">AVERAGE(OFFSET($BH$3,0,0,'Données projet'!$E$11+1,1))-AVERAGE(OFFSET($H$3,0,0,'Données projet'!$E$11+1,1))</f>
        <v>225.82185458224626</v>
      </c>
      <c r="BJ53" s="60">
        <f t="shared" si="38"/>
        <v>363.02009369315243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70.555164585779167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6.1138108181677708</v>
      </c>
      <c r="BS53" s="24">
        <f t="shared" si="9"/>
        <v>76.668975403946945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120.99999999999996</v>
      </c>
      <c r="BZ53" s="14">
        <f>BY53*VLOOKUP('Données projet'!$B$12,Paramètres!$A$1:$I$89,3,0)*VLOOKUP('Données projet'!$B$12,Paramètres!$A$1:$I$89,5,0)</f>
        <v>130.24439999999996</v>
      </c>
      <c r="CA53" s="14">
        <f t="shared" si="39"/>
        <v>34.052826821785409</v>
      </c>
      <c r="CB53" s="22">
        <f t="shared" si="10"/>
        <v>286.1510033812761</v>
      </c>
      <c r="CC53" s="60">
        <f t="shared" si="11"/>
        <v>579.48433671460941</v>
      </c>
      <c r="CD53" s="60">
        <f ca="1">AVERAGE(OFFSET($CC$3,0,0,'Données projet'!$E$12+1,1))-AVERAGE(OFFSET($H$3,0,0,'Données projet'!$E$12+1,1))</f>
        <v>380.16582491288449</v>
      </c>
      <c r="CE53" s="60">
        <f t="shared" si="40"/>
        <v>166.97658184507776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121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120.99999999999996</v>
      </c>
      <c r="CU53" s="18">
        <f>CT53*VLOOKUP('Données projet'!$B$13,Paramètres!$A$1:$I$89,3,0)*VLOOKUP('Données projet'!$B$13,Paramètres!$A$1:$I$89,5,0)</f>
        <v>117.03119999999996</v>
      </c>
      <c r="CV53" s="14">
        <f t="shared" si="41"/>
        <v>30.981569147428527</v>
      </c>
      <c r="CW53" s="22">
        <f t="shared" si="13"/>
        <v>257.78890626510457</v>
      </c>
      <c r="CX53" s="60">
        <f t="shared" si="14"/>
        <v>551.12223959843789</v>
      </c>
      <c r="CY53" s="60">
        <f ca="1">AVERAGE(OFFSET($CX$3,0,0,'Données projet'!$E$13+1,1))-AVERAGE(OFFSET($H$3,0,0,'Données projet'!$E$13+1,1))</f>
        <v>345.71694170753534</v>
      </c>
      <c r="CZ53" s="60">
        <f t="shared" si="42"/>
        <v>154.08406475869634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168.2928</v>
      </c>
      <c r="P54" s="14">
        <f t="shared" si="33"/>
        <v>42.707443263135104</v>
      </c>
      <c r="Q54" s="22">
        <f t="shared" si="53"/>
        <v>367.49209034996028</v>
      </c>
      <c r="R54" s="60">
        <f t="shared" si="0"/>
        <v>660.82542368329359</v>
      </c>
      <c r="S54" s="60">
        <f ca="1">AVERAGE(OFFSET($R$3,0,0,'Données projet'!$E$9+1,1))-AVERAGE(OFFSET($H$3,0,0,'Données projet'!$E$9+1,1))</f>
        <v>430.21146937947236</v>
      </c>
      <c r="T54" s="60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164.59999999999997</v>
      </c>
      <c r="AJ54" s="14">
        <f>AI54*VLOOKUP('Données projet'!$B$10,Paramètres!$A$1:$I$89,3,0)*VLOOKUP('Données projet'!$B$10,Paramètres!$A$1:$I$89,5,0)</f>
        <v>156.63335999999998</v>
      </c>
      <c r="AK54" s="14">
        <f t="shared" si="35"/>
        <v>40.0822230758424</v>
      </c>
      <c r="AL54" s="22">
        <f t="shared" si="4"/>
        <v>342.61297385709213</v>
      </c>
      <c r="AM54" s="60">
        <f t="shared" si="5"/>
        <v>635.94630719042539</v>
      </c>
      <c r="AN54" s="60">
        <f ca="1">AVERAGE(OFFSET($AM$3,0,0,'Données projet'!$E$10+1,1))-AVERAGE(OFFSET($H$3,0,0,'Données projet'!$E$10+1,1))</f>
        <v>370.04285308422544</v>
      </c>
      <c r="AO54" s="60">
        <f t="shared" si="36"/>
        <v>218.53758068502731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-2.8421709430404007E-13</v>
      </c>
      <c r="BE54" s="14">
        <f>BD54*VLOOKUP('Données projet'!$B$11,Paramètres!$A$1:$I$89,3,0)*VLOOKUP('Données projet'!$B$11,Paramètres!$A$1:$I$89,5,0)</f>
        <v>-1.69961822393816E-13</v>
      </c>
      <c r="BF54" s="14" t="e">
        <f t="shared" si="37"/>
        <v>#NUM!</v>
      </c>
      <c r="BG54" s="22" t="e">
        <f t="shared" si="7"/>
        <v>#NUM!</v>
      </c>
      <c r="BH54" s="60" t="e">
        <f t="shared" si="8"/>
        <v>#NUM!</v>
      </c>
      <c r="BI54" s="60">
        <f ca="1">AVERAGE(OFFSET($BH$3,0,0,'Données projet'!$E$11+1,1))-AVERAGE(OFFSET($H$3,0,0,'Données projet'!$E$11+1,1))</f>
        <v>225.82185458224626</v>
      </c>
      <c r="BJ54" s="60">
        <f t="shared" si="38"/>
        <v>363.02009369315243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69.171620842653141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4.3231170884181056</v>
      </c>
      <c r="BS54" s="24">
        <f t="shared" si="9"/>
        <v>73.494737931071242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126.59999999999995</v>
      </c>
      <c r="BZ54" s="14">
        <f>BY54*VLOOKUP('Données projet'!$B$12,Paramètres!$A$1:$I$89,3,0)*VLOOKUP('Données projet'!$B$12,Paramètres!$A$1:$I$89,5,0)</f>
        <v>136.27223999999993</v>
      </c>
      <c r="CA54" s="14">
        <f t="shared" si="39"/>
        <v>35.441691330456997</v>
      </c>
      <c r="CB54" s="22">
        <f t="shared" si="10"/>
        <v>299.06843040054582</v>
      </c>
      <c r="CC54" s="60">
        <f t="shared" si="11"/>
        <v>592.40176373387908</v>
      </c>
      <c r="CD54" s="60">
        <f ca="1">AVERAGE(OFFSET($CC$3,0,0,'Données projet'!$E$12+1,1))-AVERAGE(OFFSET($H$3,0,0,'Données projet'!$E$12+1,1))</f>
        <v>380.16582491288449</v>
      </c>
      <c r="CE54" s="60">
        <f t="shared" si="40"/>
        <v>166.97658184507776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126.59999999999995</v>
      </c>
      <c r="CU54" s="18">
        <f>CT54*VLOOKUP('Données projet'!$B$13,Paramètres!$A$1:$I$89,3,0)*VLOOKUP('Données projet'!$B$13,Paramètres!$A$1:$I$89,5,0)</f>
        <v>122.44751999999997</v>
      </c>
      <c r="CV54" s="14">
        <f t="shared" si="41"/>
        <v>32.245170611031256</v>
      </c>
      <c r="CW54" s="22">
        <f t="shared" si="13"/>
        <v>269.42310281421265</v>
      </c>
      <c r="CX54" s="60">
        <f t="shared" si="14"/>
        <v>562.75643614754597</v>
      </c>
      <c r="CY54" s="60">
        <f ca="1">AVERAGE(OFFSET($CX$3,0,0,'Données projet'!$E$13+1,1))-AVERAGE(OFFSET($H$3,0,0,'Données projet'!$E$13+1,1))</f>
        <v>345.71694170753534</v>
      </c>
      <c r="CZ54" s="60">
        <f t="shared" si="42"/>
        <v>154.08406475869634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175.53120000000001</v>
      </c>
      <c r="P55" s="14">
        <f t="shared" si="33"/>
        <v>44.326510481422488</v>
      </c>
      <c r="Q55" s="22">
        <f t="shared" si="53"/>
        <v>382.9188457551441</v>
      </c>
      <c r="R55" s="60">
        <f t="shared" si="0"/>
        <v>676.25217908847742</v>
      </c>
      <c r="S55" s="60">
        <f ca="1">AVERAGE(OFFSET($R$3,0,0,'Données projet'!$E$9+1,1))-AVERAGE(OFFSET($H$3,0,0,'Données projet'!$E$9+1,1))</f>
        <v>430.21146937947236</v>
      </c>
      <c r="T55" s="60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170.19999999999996</v>
      </c>
      <c r="AJ55" s="14">
        <f>AI55*VLOOKUP('Données projet'!$B$10,Paramètres!$A$1:$I$89,3,0)*VLOOKUP('Données projet'!$B$10,Paramètres!$A$1:$I$89,5,0)</f>
        <v>161.96231999999998</v>
      </c>
      <c r="AK55" s="14">
        <f t="shared" si="35"/>
        <v>41.284807662812497</v>
      </c>
      <c r="AL55" s="22">
        <f t="shared" si="4"/>
        <v>353.98874734606505</v>
      </c>
      <c r="AM55" s="60">
        <f t="shared" si="5"/>
        <v>647.32208067939837</v>
      </c>
      <c r="AN55" s="60">
        <f ca="1">AVERAGE(OFFSET($AM$3,0,0,'Données projet'!$E$10+1,1))-AVERAGE(OFFSET($H$3,0,0,'Données projet'!$E$10+1,1))</f>
        <v>370.04285308422544</v>
      </c>
      <c r="AO55" s="60">
        <f t="shared" si="36"/>
        <v>218.53758068502731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-2.8421709430404007E-13</v>
      </c>
      <c r="BE55" s="14">
        <f>BD55*VLOOKUP('Données projet'!$B$11,Paramètres!$A$1:$I$89,3,0)*VLOOKUP('Données projet'!$B$11,Paramètres!$A$1:$I$89,5,0)</f>
        <v>-1.69961822393816E-13</v>
      </c>
      <c r="BF55" s="14" t="e">
        <f t="shared" si="37"/>
        <v>#NUM!</v>
      </c>
      <c r="BG55" s="22" t="e">
        <f t="shared" si="7"/>
        <v>#NUM!</v>
      </c>
      <c r="BH55" s="60" t="e">
        <f t="shared" si="8"/>
        <v>#NUM!</v>
      </c>
      <c r="BI55" s="60">
        <f ca="1">AVERAGE(OFFSET($BH$3,0,0,'Données projet'!$E$11+1,1))-AVERAGE(OFFSET($H$3,0,0,'Données projet'!$E$11+1,1))</f>
        <v>225.82185458224626</v>
      </c>
      <c r="BJ55" s="60">
        <f t="shared" si="38"/>
        <v>363.02009369315243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67.815207548451454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3.0569054090838859</v>
      </c>
      <c r="BS55" s="24">
        <f t="shared" si="9"/>
        <v>70.872112957535336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132.19999999999996</v>
      </c>
      <c r="BZ55" s="14">
        <f>BY55*VLOOKUP('Données projet'!$B$12,Paramètres!$A$1:$I$89,3,0)*VLOOKUP('Données projet'!$B$12,Paramètres!$A$1:$I$89,5,0)</f>
        <v>142.30007999999995</v>
      </c>
      <c r="CA55" s="14">
        <f t="shared" si="39"/>
        <v>36.823420753495235</v>
      </c>
      <c r="CB55" s="22">
        <f t="shared" si="10"/>
        <v>311.97343047900409</v>
      </c>
      <c r="CC55" s="60">
        <f t="shared" si="11"/>
        <v>605.30676381233741</v>
      </c>
      <c r="CD55" s="60">
        <f ca="1">AVERAGE(OFFSET($CC$3,0,0,'Données projet'!$E$12+1,1))-AVERAGE(OFFSET($H$3,0,0,'Données projet'!$E$12+1,1))</f>
        <v>380.16582491288449</v>
      </c>
      <c r="CE55" s="60">
        <f t="shared" si="40"/>
        <v>166.97658184507776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132.19999999999996</v>
      </c>
      <c r="CU55" s="18">
        <f>CT55*VLOOKUP('Données projet'!$B$13,Paramètres!$A$1:$I$89,3,0)*VLOOKUP('Données projet'!$B$13,Paramètres!$A$1:$I$89,5,0)</f>
        <v>127.86383999999995</v>
      </c>
      <c r="CV55" s="14">
        <f t="shared" si="41"/>
        <v>33.502280509335172</v>
      </c>
      <c r="CW55" s="22">
        <f t="shared" si="13"/>
        <v>281.04599322042532</v>
      </c>
      <c r="CX55" s="60">
        <f t="shared" si="14"/>
        <v>574.37932655375857</v>
      </c>
      <c r="CY55" s="60">
        <f ca="1">AVERAGE(OFFSET($CX$3,0,0,'Données projet'!$E$13+1,1))-AVERAGE(OFFSET($H$3,0,0,'Données projet'!$E$13+1,1))</f>
        <v>345.71694170753534</v>
      </c>
      <c r="CZ55" s="60">
        <f t="shared" si="42"/>
        <v>154.08406475869634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182.7696</v>
      </c>
      <c r="P56" s="14">
        <f t="shared" si="33"/>
        <v>45.937822477650357</v>
      </c>
      <c r="Q56" s="22">
        <f t="shared" si="53"/>
        <v>398.33209414857441</v>
      </c>
      <c r="R56" s="60">
        <f t="shared" si="0"/>
        <v>691.66542748190773</v>
      </c>
      <c r="S56" s="60">
        <f ca="1">AVERAGE(OFFSET($R$3,0,0,'Données projet'!$E$9+1,1))-AVERAGE(OFFSET($H$3,0,0,'Données projet'!$E$9+1,1))</f>
        <v>430.21146937947236</v>
      </c>
      <c r="T56" s="60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175.79999999999995</v>
      </c>
      <c r="AJ56" s="14">
        <f>AI56*VLOOKUP('Données projet'!$B$10,Paramètres!$A$1:$I$89,3,0)*VLOOKUP('Données projet'!$B$10,Paramètres!$A$1:$I$89,5,0)</f>
        <v>167.29127999999997</v>
      </c>
      <c r="AK56" s="14">
        <f t="shared" si="35"/>
        <v>42.482794466464185</v>
      </c>
      <c r="AL56" s="22">
        <f t="shared" si="4"/>
        <v>365.35651302909173</v>
      </c>
      <c r="AM56" s="60">
        <f t="shared" si="5"/>
        <v>658.68984636242499</v>
      </c>
      <c r="AN56" s="60">
        <f ca="1">AVERAGE(OFFSET($AM$3,0,0,'Données projet'!$E$10+1,1))-AVERAGE(OFFSET($H$3,0,0,'Données projet'!$E$10+1,1))</f>
        <v>370.04285308422544</v>
      </c>
      <c r="AO56" s="60">
        <f t="shared" si="36"/>
        <v>218.53758068502731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-2.8421709430404007E-13</v>
      </c>
      <c r="BE56" s="14">
        <f>BD56*VLOOKUP('Données projet'!$B$11,Paramètres!$A$1:$I$89,3,0)*VLOOKUP('Données projet'!$B$11,Paramètres!$A$1:$I$89,5,0)</f>
        <v>-1.69961822393816E-13</v>
      </c>
      <c r="BF56" s="14" t="e">
        <f t="shared" si="37"/>
        <v>#NUM!</v>
      </c>
      <c r="BG56" s="22" t="e">
        <f t="shared" si="7"/>
        <v>#NUM!</v>
      </c>
      <c r="BH56" s="60" t="e">
        <f t="shared" si="8"/>
        <v>#NUM!</v>
      </c>
      <c r="BI56" s="60">
        <f ca="1">AVERAGE(OFFSET($BH$3,0,0,'Données projet'!$E$11+1,1))-AVERAGE(OFFSET($H$3,0,0,'Données projet'!$E$11+1,1))</f>
        <v>225.82185458224626</v>
      </c>
      <c r="BJ56" s="60">
        <f t="shared" si="38"/>
        <v>363.02009369315243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66.485392691618657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2.1615585442090528</v>
      </c>
      <c r="BS56" s="24">
        <f t="shared" si="9"/>
        <v>68.646951235827714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137.79999999999995</v>
      </c>
      <c r="BZ56" s="14">
        <f>BY56*VLOOKUP('Données projet'!$B$12,Paramètres!$A$1:$I$89,3,0)*VLOOKUP('Données projet'!$B$12,Paramètres!$A$1:$I$89,5,0)</f>
        <v>148.32791999999995</v>
      </c>
      <c r="CA56" s="14">
        <f t="shared" si="39"/>
        <v>38.198351889603472</v>
      </c>
      <c r="CB56" s="22">
        <f t="shared" si="10"/>
        <v>324.86659020772595</v>
      </c>
      <c r="CC56" s="60">
        <f t="shared" si="11"/>
        <v>618.19992354105921</v>
      </c>
      <c r="CD56" s="60">
        <f ca="1">AVERAGE(OFFSET($CC$3,0,0,'Données projet'!$E$12+1,1))-AVERAGE(OFFSET($H$3,0,0,'Données projet'!$E$12+1,1))</f>
        <v>380.16582491288449</v>
      </c>
      <c r="CE56" s="60">
        <f t="shared" si="40"/>
        <v>166.97658184507776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137.79999999999995</v>
      </c>
      <c r="CU56" s="18">
        <f>CT56*VLOOKUP('Données projet'!$B$13,Paramètres!$A$1:$I$89,3,0)*VLOOKUP('Données projet'!$B$13,Paramètres!$A$1:$I$89,5,0)</f>
        <v>133.28015999999994</v>
      </c>
      <c r="CV56" s="14">
        <f t="shared" si="41"/>
        <v>34.753205264839991</v>
      </c>
      <c r="CW56" s="22">
        <f t="shared" si="13"/>
        <v>292.65811116959617</v>
      </c>
      <c r="CX56" s="60">
        <f t="shared" si="14"/>
        <v>585.99144450292943</v>
      </c>
      <c r="CY56" s="60">
        <f ca="1">AVERAGE(OFFSET($CX$3,0,0,'Données projet'!$E$13+1,1))-AVERAGE(OFFSET($H$3,0,0,'Données projet'!$E$13+1,1))</f>
        <v>345.71694170753534</v>
      </c>
      <c r="CZ56" s="60">
        <f t="shared" si="42"/>
        <v>154.08406475869634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190.00800000000001</v>
      </c>
      <c r="P57" s="14">
        <f t="shared" si="33"/>
        <v>47.541721533308163</v>
      </c>
      <c r="Q57" s="22">
        <f t="shared" si="53"/>
        <v>413.73243167051174</v>
      </c>
      <c r="R57" s="60">
        <f t="shared" si="0"/>
        <v>707.06576500384506</v>
      </c>
      <c r="S57" s="60">
        <f ca="1">AVERAGE(OFFSET($R$3,0,0,'Données projet'!$E$9+1,1))-AVERAGE(OFFSET($H$3,0,0,'Données projet'!$E$9+1,1))</f>
        <v>430.21146937947236</v>
      </c>
      <c r="T57" s="60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181.39999999999995</v>
      </c>
      <c r="AJ57" s="14">
        <f>AI57*VLOOKUP('Données projet'!$B$10,Paramètres!$A$1:$I$89,3,0)*VLOOKUP('Données projet'!$B$10,Paramètres!$A$1:$I$89,5,0)</f>
        <v>172.62023999999997</v>
      </c>
      <c r="AK57" s="14">
        <f t="shared" si="35"/>
        <v>43.676346747508411</v>
      </c>
      <c r="AL57" s="22">
        <f t="shared" si="4"/>
        <v>376.71655525191045</v>
      </c>
      <c r="AM57" s="60">
        <f t="shared" si="5"/>
        <v>670.04988858524371</v>
      </c>
      <c r="AN57" s="60">
        <f ca="1">AVERAGE(OFFSET($AM$3,0,0,'Données projet'!$E$10+1,1))-AVERAGE(OFFSET($H$3,0,0,'Données projet'!$E$10+1,1))</f>
        <v>370.04285308422544</v>
      </c>
      <c r="AO57" s="60">
        <f t="shared" si="36"/>
        <v>218.53758068502731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-2.8421709430404007E-13</v>
      </c>
      <c r="BE57" s="14">
        <f>BD57*VLOOKUP('Données projet'!$B$11,Paramètres!$A$1:$I$89,3,0)*VLOOKUP('Données projet'!$B$11,Paramètres!$A$1:$I$89,5,0)</f>
        <v>-1.69961822393816E-13</v>
      </c>
      <c r="BF57" s="14" t="e">
        <f t="shared" si="37"/>
        <v>#NUM!</v>
      </c>
      <c r="BG57" s="22" t="e">
        <f t="shared" si="7"/>
        <v>#NUM!</v>
      </c>
      <c r="BH57" s="60" t="e">
        <f t="shared" si="8"/>
        <v>#NUM!</v>
      </c>
      <c r="BI57" s="60">
        <f ca="1">AVERAGE(OFFSET($BH$3,0,0,'Données projet'!$E$11+1,1))-AVERAGE(OFFSET($H$3,0,0,'Données projet'!$E$11+1,1))</f>
        <v>225.82185458224626</v>
      </c>
      <c r="BJ57" s="60">
        <f t="shared" si="38"/>
        <v>363.02009369315243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65.181654693021372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1.5284527045419429</v>
      </c>
      <c r="BS57" s="24">
        <f t="shared" si="9"/>
        <v>66.71010739756332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143.39999999999995</v>
      </c>
      <c r="BZ57" s="14">
        <f>BY57*VLOOKUP('Données projet'!$B$12,Paramètres!$A$1:$I$89,3,0)*VLOOKUP('Données projet'!$B$12,Paramètres!$A$1:$I$89,5,0)</f>
        <v>154.35575999999995</v>
      </c>
      <c r="CA57" s="14">
        <f t="shared" si="39"/>
        <v>39.566792614262397</v>
      </c>
      <c r="CB57" s="22">
        <f t="shared" si="10"/>
        <v>337.74844580317352</v>
      </c>
      <c r="CC57" s="60">
        <f t="shared" si="11"/>
        <v>631.08177913650684</v>
      </c>
      <c r="CD57" s="60">
        <f ca="1">AVERAGE(OFFSET($CC$3,0,0,'Données projet'!$E$12+1,1))-AVERAGE(OFFSET($H$3,0,0,'Données projet'!$E$12+1,1))</f>
        <v>380.16582491288449</v>
      </c>
      <c r="CE57" s="60">
        <f t="shared" si="40"/>
        <v>166.97658184507776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143.39999999999995</v>
      </c>
      <c r="CU57" s="18">
        <f>CT57*VLOOKUP('Données projet'!$B$13,Paramètres!$A$1:$I$89,3,0)*VLOOKUP('Données projet'!$B$13,Paramètres!$A$1:$I$89,5,0)</f>
        <v>138.69647999999995</v>
      </c>
      <c r="CV57" s="14">
        <f t="shared" si="41"/>
        <v>35.998224985436444</v>
      </c>
      <c r="CW57" s="22">
        <f t="shared" si="13"/>
        <v>304.25994451630169</v>
      </c>
      <c r="CX57" s="60">
        <f t="shared" si="14"/>
        <v>597.593277849635</v>
      </c>
      <c r="CY57" s="60">
        <f ca="1">AVERAGE(OFFSET($CX$3,0,0,'Données projet'!$E$13+1,1))-AVERAGE(OFFSET($H$3,0,0,'Données projet'!$E$13+1,1))</f>
        <v>345.71694170753534</v>
      </c>
      <c r="CZ57" s="60">
        <f t="shared" si="42"/>
        <v>154.08406475869634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197.24639999999999</v>
      </c>
      <c r="P58" s="14">
        <f t="shared" si="33"/>
        <v>49.138522374247202</v>
      </c>
      <c r="Q58" s="22">
        <f t="shared" si="53"/>
        <v>429.12040646848055</v>
      </c>
      <c r="R58" s="60">
        <f t="shared" si="0"/>
        <v>722.45373980181387</v>
      </c>
      <c r="S58" s="60">
        <f ca="1">AVERAGE(OFFSET($R$3,0,0,'Données projet'!$E$9+1,1))-AVERAGE(OFFSET($H$3,0,0,'Données projet'!$E$9+1,1))</f>
        <v>430.21146937947236</v>
      </c>
      <c r="T58" s="60">
        <f t="shared" si="34"/>
        <v>231.36959598460686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187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186.99999999999994</v>
      </c>
      <c r="AJ58" s="14">
        <f>AI58*VLOOKUP('Données projet'!$B$10,Paramètres!$A$1:$I$89,3,0)*VLOOKUP('Données projet'!$B$10,Paramètres!$A$1:$I$89,5,0)</f>
        <v>177.94919999999996</v>
      </c>
      <c r="AK58" s="14">
        <f t="shared" si="35"/>
        <v>44.865617113963715</v>
      </c>
      <c r="AL58" s="22">
        <f t="shared" si="4"/>
        <v>388.06913980682003</v>
      </c>
      <c r="AM58" s="60">
        <f t="shared" si="5"/>
        <v>681.40247314015335</v>
      </c>
      <c r="AN58" s="60">
        <f ca="1">AVERAGE(OFFSET($AM$3,0,0,'Données projet'!$E$10+1,1))-AVERAGE(OFFSET($H$3,0,0,'Données projet'!$E$10+1,1))</f>
        <v>370.04285308422544</v>
      </c>
      <c r="AO58" s="60">
        <f t="shared" si="36"/>
        <v>218.53758068502731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-2.8421709430404007E-13</v>
      </c>
      <c r="BE58" s="14">
        <f>BD58*VLOOKUP('Données projet'!$B$11,Paramètres!$A$1:$I$89,3,0)*VLOOKUP('Données projet'!$B$11,Paramètres!$A$1:$I$89,5,0)</f>
        <v>-1.69961822393816E-13</v>
      </c>
      <c r="BF58" s="14" t="e">
        <f t="shared" si="37"/>
        <v>#NUM!</v>
      </c>
      <c r="BG58" s="22" t="e">
        <f t="shared" si="7"/>
        <v>#NUM!</v>
      </c>
      <c r="BH58" s="60" t="e">
        <f t="shared" si="8"/>
        <v>#NUM!</v>
      </c>
      <c r="BI58" s="60">
        <f ca="1">AVERAGE(OFFSET($BH$3,0,0,'Données projet'!$E$11+1,1))-AVERAGE(OFFSET($H$3,0,0,'Données projet'!$E$11+1,1))</f>
        <v>225.82185458224626</v>
      </c>
      <c r="BJ58" s="60">
        <f t="shared" si="38"/>
        <v>363.02009369315243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63.903482201374921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1.0807792721045264</v>
      </c>
      <c r="BS58" s="24">
        <f t="shared" si="9"/>
        <v>64.984261473479449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149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148.99999999999994</v>
      </c>
      <c r="BZ58" s="14">
        <f>BY58*VLOOKUP('Données projet'!$B$12,Paramètres!$A$1:$I$89,3,0)*VLOOKUP('Données projet'!$B$12,Paramètres!$A$1:$I$89,5,0)</f>
        <v>160.38359999999994</v>
      </c>
      <c r="CA58" s="14">
        <f t="shared" si="39"/>
        <v>40.929025395397851</v>
      </c>
      <c r="CB58" s="22">
        <f t="shared" si="10"/>
        <v>350.61948923031781</v>
      </c>
      <c r="CC58" s="60">
        <f t="shared" si="11"/>
        <v>643.95282256365113</v>
      </c>
      <c r="CD58" s="60">
        <f ca="1">AVERAGE(OFFSET($CC$3,0,0,'Données projet'!$E$12+1,1))-AVERAGE(OFFSET($H$3,0,0,'Données projet'!$E$12+1,1))</f>
        <v>380.16582491288449</v>
      </c>
      <c r="CE58" s="60">
        <f t="shared" si="40"/>
        <v>166.97658184507776</v>
      </c>
      <c r="CF58" s="16">
        <f>IF(ISNA(VLOOKUP(A58,'Données projet'!$A$113:$I$133,3,0)),0,VLOOKUP(A58,'Données projet'!$A$113:$I$133,3,0))</f>
        <v>3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149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148.99999999999994</v>
      </c>
      <c r="CU58" s="18">
        <f>CT58*VLOOKUP('Données projet'!$B$13,Paramètres!$A$1:$I$89,3,0)*VLOOKUP('Données projet'!$B$13,Paramètres!$A$1:$I$89,5,0)</f>
        <v>144.11279999999996</v>
      </c>
      <c r="CV58" s="14">
        <f t="shared" si="41"/>
        <v>37.237596662992466</v>
      </c>
      <c r="CW58" s="22">
        <f t="shared" si="13"/>
        <v>315.85194085471181</v>
      </c>
      <c r="CX58" s="60">
        <f t="shared" si="14"/>
        <v>609.18527418804513</v>
      </c>
      <c r="CY58" s="60">
        <f ca="1">AVERAGE(OFFSET($CX$3,0,0,'Données projet'!$E$13+1,1))-AVERAGE(OFFSET($H$3,0,0,'Données projet'!$E$13+1,1))</f>
        <v>345.71694170753534</v>
      </c>
      <c r="CZ58" s="60">
        <f t="shared" si="42"/>
        <v>154.08406475869634</v>
      </c>
      <c r="DA58" s="16">
        <f>IF(ISNA(VLOOKUP(A58,'Données projet'!$A$139:$I$159,3,0)),0,VLOOKUP(A58,'Données projet'!$A$139:$I$159,3,0))</f>
        <v>3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0">
        <f t="shared" si="0"/>
        <v>656.19466748139871</v>
      </c>
      <c r="S59" s="60">
        <f ca="1">AVERAGE(OFFSET($R$3,0,0,'Données projet'!$E$9+1,1))-AVERAGE(OFFSET($H$3,0,0,'Données projet'!$E$9+1,1))</f>
        <v>430.21146937947236</v>
      </c>
      <c r="T59" s="60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164.39999999999995</v>
      </c>
      <c r="AJ59" s="14">
        <f>AI59*VLOOKUP('Données projet'!$B$10,Paramètres!$A$1:$I$89,3,0)*VLOOKUP('Données projet'!$B$10,Paramètres!$A$1:$I$89,5,0)</f>
        <v>156.44303999999994</v>
      </c>
      <c r="AK59" s="14">
        <f t="shared" si="35"/>
        <v>40.039186431858795</v>
      </c>
      <c r="AL59" s="22">
        <f t="shared" si="4"/>
        <v>342.20654436882069</v>
      </c>
      <c r="AM59" s="60">
        <f t="shared" si="5"/>
        <v>635.53987770215394</v>
      </c>
      <c r="AN59" s="60">
        <f ca="1">AVERAGE(OFFSET($AM$3,0,0,'Données projet'!$E$10+1,1))-AVERAGE(OFFSET($H$3,0,0,'Données projet'!$E$10+1,1))</f>
        <v>370.04285308422544</v>
      </c>
      <c r="AO59" s="60">
        <f t="shared" si="36"/>
        <v>218.53758068502731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-2.8421709430404007E-13</v>
      </c>
      <c r="BE59" s="14">
        <f>BD59*VLOOKUP('Données projet'!$B$11,Paramètres!$A$1:$I$89,3,0)*VLOOKUP('Données projet'!$B$11,Paramètres!$A$1:$I$89,5,0)</f>
        <v>-1.69961822393816E-13</v>
      </c>
      <c r="BF59" s="14" t="e">
        <f t="shared" si="37"/>
        <v>#NUM!</v>
      </c>
      <c r="BG59" s="22" t="e">
        <f t="shared" si="7"/>
        <v>#NUM!</v>
      </c>
      <c r="BH59" s="60" t="e">
        <f t="shared" si="8"/>
        <v>#NUM!</v>
      </c>
      <c r="BI59" s="60">
        <f ca="1">AVERAGE(OFFSET($BH$3,0,0,'Données projet'!$E$11+1,1))-AVERAGE(OFFSET($H$3,0,0,'Données projet'!$E$11+1,1))</f>
        <v>225.82185458224626</v>
      </c>
      <c r="BJ59" s="60">
        <f t="shared" si="38"/>
        <v>363.02009369315243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62.650373892681415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0.76422635227097147</v>
      </c>
      <c r="BS59" s="24">
        <f t="shared" si="9"/>
        <v>63.414600244952389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5.4</v>
      </c>
      <c r="BY59" s="13">
        <f>IF('Données projet'!$A$114&gt;35,BY58+BX59-CG58,IF(A59&lt;'Données projet'!$A$114,$BV$205^A59,IF(A59='Données projet'!$A$114,'Données projet'!$B$114,BY58+BX59-CG58)))</f>
        <v>126.39999999999995</v>
      </c>
      <c r="BZ59" s="14">
        <f>BY59*VLOOKUP('Données projet'!$B$12,Paramètres!$A$1:$I$89,3,0)*VLOOKUP('Données projet'!$B$12,Paramètres!$A$1:$I$89,5,0)</f>
        <v>136.05695999999992</v>
      </c>
      <c r="CA59" s="14">
        <f t="shared" si="39"/>
        <v>35.392213985322201</v>
      </c>
      <c r="CB59" s="22">
        <f t="shared" si="10"/>
        <v>298.60731135776933</v>
      </c>
      <c r="CC59" s="60">
        <f t="shared" si="11"/>
        <v>591.94064469110265</v>
      </c>
      <c r="CD59" s="60">
        <f ca="1">AVERAGE(OFFSET($CC$3,0,0,'Données projet'!$E$12+1,1))-AVERAGE(OFFSET($H$3,0,0,'Données projet'!$E$12+1,1))</f>
        <v>380.16582491288449</v>
      </c>
      <c r="CE59" s="60">
        <f t="shared" si="40"/>
        <v>166.97658184507776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5.4</v>
      </c>
      <c r="CT59" s="13">
        <f>IF('Données projet'!$A$140&gt;35,CT58+CS59-DB58,IF(A59&lt;'Données projet'!$A$140,$CQ$205^A59,IF(A59='Données projet'!$A$140,'Données projet'!$B$140,CT58+CS59-DB58)))</f>
        <v>126.39999999999995</v>
      </c>
      <c r="CU59" s="18">
        <f>CT59*VLOOKUP('Données projet'!$B$13,Paramètres!$A$1:$I$89,3,0)*VLOOKUP('Données projet'!$B$13,Paramètres!$A$1:$I$89,5,0)</f>
        <v>122.25407999999995</v>
      </c>
      <c r="CV59" s="14">
        <f t="shared" si="41"/>
        <v>32.20015567592624</v>
      </c>
      <c r="CW59" s="22">
        <f t="shared" si="13"/>
        <v>269.0077938022381</v>
      </c>
      <c r="CX59" s="60">
        <f t="shared" si="14"/>
        <v>562.34112713557147</v>
      </c>
      <c r="CY59" s="60">
        <f ca="1">AVERAGE(OFFSET($CX$3,0,0,'Données projet'!$E$13+1,1))-AVERAGE(OFFSET($H$3,0,0,'Données projet'!$E$13+1,1))</f>
        <v>345.71694170753534</v>
      </c>
      <c r="CZ59" s="60">
        <f t="shared" si="42"/>
        <v>154.08406475869634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0">
        <f t="shared" si="0"/>
        <v>670.85438320142657</v>
      </c>
      <c r="S60" s="60">
        <f ca="1">AVERAGE(OFFSET($R$3,0,0,'Données projet'!$E$9+1,1))-AVERAGE(OFFSET($H$3,0,0,'Données projet'!$E$9+1,1))</f>
        <v>430.21146937947236</v>
      </c>
      <c r="T60" s="60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169.79999999999995</v>
      </c>
      <c r="AJ60" s="14">
        <f>AI60*VLOOKUP('Données projet'!$B$10,Paramètres!$A$1:$I$89,3,0)*VLOOKUP('Données projet'!$B$10,Paramètres!$A$1:$I$89,5,0)</f>
        <v>161.58167999999998</v>
      </c>
      <c r="AK60" s="14">
        <f t="shared" si="35"/>
        <v>41.199063244334916</v>
      </c>
      <c r="AL60" s="22">
        <f t="shared" si="4"/>
        <v>353.17646115054987</v>
      </c>
      <c r="AM60" s="60">
        <f t="shared" si="5"/>
        <v>646.50979448388318</v>
      </c>
      <c r="AN60" s="60">
        <f ca="1">AVERAGE(OFFSET($AM$3,0,0,'Données projet'!$E$10+1,1))-AVERAGE(OFFSET($H$3,0,0,'Données projet'!$E$10+1,1))</f>
        <v>370.04285308422544</v>
      </c>
      <c r="AO60" s="60">
        <f t="shared" si="36"/>
        <v>218.53758068502731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-2.8421709430404007E-13</v>
      </c>
      <c r="BE60" s="14">
        <f>BD60*VLOOKUP('Données projet'!$B$11,Paramètres!$A$1:$I$89,3,0)*VLOOKUP('Données projet'!$B$11,Paramètres!$A$1:$I$89,5,0)</f>
        <v>-1.69961822393816E-13</v>
      </c>
      <c r="BF60" s="14" t="e">
        <f t="shared" si="37"/>
        <v>#NUM!</v>
      </c>
      <c r="BG60" s="22" t="e">
        <f t="shared" si="7"/>
        <v>#NUM!</v>
      </c>
      <c r="BH60" s="60" t="e">
        <f t="shared" si="8"/>
        <v>#NUM!</v>
      </c>
      <c r="BI60" s="60">
        <f ca="1">AVERAGE(OFFSET($BH$3,0,0,'Données projet'!$E$11+1,1))-AVERAGE(OFFSET($H$3,0,0,'Données projet'!$E$11+1,1))</f>
        <v>225.82185458224626</v>
      </c>
      <c r="BJ60" s="60">
        <f t="shared" si="38"/>
        <v>363.02009369315243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61.421838273600791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0.5403896360522632</v>
      </c>
      <c r="BS60" s="24">
        <f t="shared" si="9"/>
        <v>61.962227909653052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5.4</v>
      </c>
      <c r="BY60" s="13">
        <f>IF('Données projet'!$A$114&gt;35,BY59+BX60-CG59,IF(A60&lt;'Données projet'!$A$114,$BV$205^A60,IF(A60='Données projet'!$A$114,'Données projet'!$B$114,BY59+BX60-CG59)))</f>
        <v>131.79999999999995</v>
      </c>
      <c r="BZ60" s="14">
        <f>BY60*VLOOKUP('Données projet'!$B$12,Paramètres!$A$1:$I$89,3,0)*VLOOKUP('Données projet'!$B$12,Paramètres!$A$1:$I$89,5,0)</f>
        <v>141.86951999999994</v>
      </c>
      <c r="CA60" s="14">
        <f t="shared" si="39"/>
        <v>36.724955062927357</v>
      </c>
      <c r="CB60" s="22">
        <f t="shared" si="10"/>
        <v>311.05204406793172</v>
      </c>
      <c r="CC60" s="60">
        <f t="shared" si="11"/>
        <v>604.38537740126503</v>
      </c>
      <c r="CD60" s="60">
        <f ca="1">AVERAGE(OFFSET($CC$3,0,0,'Données projet'!$E$12+1,1))-AVERAGE(OFFSET($H$3,0,0,'Données projet'!$E$12+1,1))</f>
        <v>380.16582491288449</v>
      </c>
      <c r="CE60" s="60">
        <f t="shared" si="40"/>
        <v>166.97658184507776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5.4</v>
      </c>
      <c r="CT60" s="13">
        <f>IF('Données projet'!$A$140&gt;35,CT59+CS60-DB59,IF(A60&lt;'Données projet'!$A$140,$CQ$205^A60,IF(A60='Données projet'!$A$140,'Données projet'!$B$140,CT59+CS60-DB59)))</f>
        <v>131.79999999999995</v>
      </c>
      <c r="CU60" s="18">
        <f>CT60*VLOOKUP('Données projet'!$B$13,Paramètres!$A$1:$I$89,3,0)*VLOOKUP('Données projet'!$B$13,Paramètres!$A$1:$I$89,5,0)</f>
        <v>127.47695999999995</v>
      </c>
      <c r="CV60" s="14">
        <f t="shared" si="41"/>
        <v>33.412695535466739</v>
      </c>
      <c r="CW60" s="22">
        <f t="shared" si="13"/>
        <v>280.21615005760447</v>
      </c>
      <c r="CX60" s="60">
        <f t="shared" si="14"/>
        <v>573.54948339093778</v>
      </c>
      <c r="CY60" s="60">
        <f ca="1">AVERAGE(OFFSET($CX$3,0,0,'Données projet'!$E$13+1,1))-AVERAGE(OFFSET($H$3,0,0,'Données projet'!$E$13+1,1))</f>
        <v>345.71694170753534</v>
      </c>
      <c r="CZ60" s="60">
        <f t="shared" si="42"/>
        <v>154.08406475869634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0">
        <f t="shared" si="0"/>
        <v>685.50170967350618</v>
      </c>
      <c r="S61" s="60">
        <f ca="1">AVERAGE(OFFSET($R$3,0,0,'Données projet'!$E$9+1,1))-AVERAGE(OFFSET($H$3,0,0,'Données projet'!$E$9+1,1))</f>
        <v>430.21146937947236</v>
      </c>
      <c r="T61" s="60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175.19999999999996</v>
      </c>
      <c r="AJ61" s="14">
        <f>AI61*VLOOKUP('Données projet'!$B$10,Paramètres!$A$1:$I$89,3,0)*VLOOKUP('Données projet'!$B$10,Paramètres!$A$1:$I$89,5,0)</f>
        <v>166.72031999999996</v>
      </c>
      <c r="AK61" s="14">
        <f t="shared" si="35"/>
        <v>42.354653637142938</v>
      </c>
      <c r="AL61" s="22">
        <f t="shared" si="4"/>
        <v>364.13891241802389</v>
      </c>
      <c r="AM61" s="60">
        <f t="shared" si="5"/>
        <v>657.47224575135715</v>
      </c>
      <c r="AN61" s="60">
        <f ca="1">AVERAGE(OFFSET($AM$3,0,0,'Données projet'!$E$10+1,1))-AVERAGE(OFFSET($H$3,0,0,'Données projet'!$E$10+1,1))</f>
        <v>370.04285308422544</v>
      </c>
      <c r="AO61" s="60">
        <f t="shared" si="36"/>
        <v>218.53758068502731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-2.8421709430404007E-13</v>
      </c>
      <c r="BE61" s="14">
        <f>BD61*VLOOKUP('Données projet'!$B$11,Paramètres!$A$1:$I$89,3,0)*VLOOKUP('Données projet'!$B$11,Paramètres!$A$1:$I$89,5,0)</f>
        <v>-1.69961822393816E-13</v>
      </c>
      <c r="BF61" s="14" t="e">
        <f t="shared" si="37"/>
        <v>#NUM!</v>
      </c>
      <c r="BG61" s="22" t="e">
        <f t="shared" si="7"/>
        <v>#NUM!</v>
      </c>
      <c r="BH61" s="60" t="e">
        <f t="shared" si="8"/>
        <v>#NUM!</v>
      </c>
      <c r="BI61" s="60">
        <f ca="1">AVERAGE(OFFSET($BH$3,0,0,'Données projet'!$E$11+1,1))-AVERAGE(OFFSET($H$3,0,0,'Données projet'!$E$11+1,1))</f>
        <v>225.82185458224626</v>
      </c>
      <c r="BJ61" s="60">
        <f t="shared" si="38"/>
        <v>363.02009369315243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60.217393488677601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0.38211317613548573</v>
      </c>
      <c r="BS61" s="24">
        <f t="shared" si="9"/>
        <v>60.599506664813084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5.4</v>
      </c>
      <c r="BY61" s="13">
        <f>IF('Données projet'!$A$114&gt;35,BY60+BX61-CG60,IF(A61&lt;'Données projet'!$A$114,$BV$205^A61,IF(A61='Données projet'!$A$114,'Données projet'!$B$114,BY60+BX61-CG60)))</f>
        <v>137.19999999999996</v>
      </c>
      <c r="BZ61" s="14">
        <f>BY61*VLOOKUP('Données projet'!$B$12,Paramètres!$A$1:$I$89,3,0)*VLOOKUP('Données projet'!$B$12,Paramètres!$A$1:$I$89,5,0)</f>
        <v>147.68207999999996</v>
      </c>
      <c r="CA61" s="14">
        <f t="shared" si="39"/>
        <v>38.051353497342525</v>
      </c>
      <c r="CB61" s="22">
        <f t="shared" si="10"/>
        <v>323.48573000787144</v>
      </c>
      <c r="CC61" s="60">
        <f t="shared" si="11"/>
        <v>616.81906334120481</v>
      </c>
      <c r="CD61" s="60">
        <f ca="1">AVERAGE(OFFSET($CC$3,0,0,'Données projet'!$E$12+1,1))-AVERAGE(OFFSET($H$3,0,0,'Données projet'!$E$12+1,1))</f>
        <v>380.16582491288449</v>
      </c>
      <c r="CE61" s="60">
        <f t="shared" si="40"/>
        <v>166.97658184507776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5.4</v>
      </c>
      <c r="CT61" s="13">
        <f>IF('Données projet'!$A$140&gt;35,CT60+CS61-DB60,IF(A61&lt;'Données projet'!$A$140,$CQ$205^A61,IF(A61='Données projet'!$A$140,'Données projet'!$B$140,CT60+CS61-DB60)))</f>
        <v>137.19999999999996</v>
      </c>
      <c r="CU61" s="18">
        <f>CT61*VLOOKUP('Données projet'!$B$13,Paramètres!$A$1:$I$89,3,0)*VLOOKUP('Données projet'!$B$13,Paramètres!$A$1:$I$89,5,0)</f>
        <v>132.69983999999997</v>
      </c>
      <c r="CV61" s="14">
        <f t="shared" si="41"/>
        <v>34.619464800994599</v>
      </c>
      <c r="CW61" s="22">
        <f t="shared" si="13"/>
        <v>291.41445586173216</v>
      </c>
      <c r="CX61" s="60">
        <f t="shared" si="14"/>
        <v>584.74778919506548</v>
      </c>
      <c r="CY61" s="60">
        <f ca="1">AVERAGE(OFFSET($CX$3,0,0,'Données projet'!$E$13+1,1))-AVERAGE(OFFSET($H$3,0,0,'Données projet'!$E$13+1,1))</f>
        <v>345.71694170753534</v>
      </c>
      <c r="CZ61" s="60">
        <f t="shared" si="42"/>
        <v>154.08406475869634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0">
        <f t="shared" si="0"/>
        <v>700.13717474882014</v>
      </c>
      <c r="S62" s="60">
        <f ca="1">AVERAGE(OFFSET($R$3,0,0,'Données projet'!$E$9+1,1))-AVERAGE(OFFSET($H$3,0,0,'Données projet'!$E$9+1,1))</f>
        <v>430.21146937947236</v>
      </c>
      <c r="T62" s="60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180.59999999999997</v>
      </c>
      <c r="AJ62" s="14">
        <f>AI62*VLOOKUP('Données projet'!$B$10,Paramètres!$A$1:$I$89,3,0)*VLOOKUP('Données projet'!$B$10,Paramètres!$A$1:$I$89,5,0)</f>
        <v>171.85895999999997</v>
      </c>
      <c r="AK62" s="14">
        <f t="shared" si="35"/>
        <v>43.506104887264392</v>
      </c>
      <c r="AL62" s="22">
        <f t="shared" si="4"/>
        <v>375.0941546786521</v>
      </c>
      <c r="AM62" s="60">
        <f t="shared" si="5"/>
        <v>668.42748801198536</v>
      </c>
      <c r="AN62" s="60">
        <f ca="1">AVERAGE(OFFSET($AM$3,0,0,'Données projet'!$E$10+1,1))-AVERAGE(OFFSET($H$3,0,0,'Données projet'!$E$10+1,1))</f>
        <v>370.04285308422544</v>
      </c>
      <c r="AO62" s="60">
        <f t="shared" si="36"/>
        <v>218.53758068502731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-2.8421709430404007E-13</v>
      </c>
      <c r="BE62" s="14">
        <f>BD62*VLOOKUP('Données projet'!$B$11,Paramètres!$A$1:$I$89,3,0)*VLOOKUP('Données projet'!$B$11,Paramètres!$A$1:$I$89,5,0)</f>
        <v>-1.69961822393816E-13</v>
      </c>
      <c r="BF62" s="14" t="e">
        <f t="shared" si="37"/>
        <v>#NUM!</v>
      </c>
      <c r="BG62" s="22" t="e">
        <f t="shared" si="7"/>
        <v>#NUM!</v>
      </c>
      <c r="BH62" s="60" t="e">
        <f t="shared" si="8"/>
        <v>#NUM!</v>
      </c>
      <c r="BI62" s="60">
        <f ca="1">AVERAGE(OFFSET($BH$3,0,0,'Données projet'!$E$11+1,1))-AVERAGE(OFFSET($H$3,0,0,'Données projet'!$E$11+1,1))</f>
        <v>225.82185458224626</v>
      </c>
      <c r="BJ62" s="60">
        <f t="shared" si="38"/>
        <v>363.02009369315243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59.036567131347972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0.2701948180261316</v>
      </c>
      <c r="BS62" s="24">
        <f t="shared" si="9"/>
        <v>59.306761949374106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5.4</v>
      </c>
      <c r="BY62" s="13">
        <f>IF('Données projet'!$A$114&gt;35,BY61+BX62-CG61,IF(A62&lt;'Données projet'!$A$114,$BV$205^A62,IF(A62='Données projet'!$A$114,'Données projet'!$B$114,BY61+BX62-CG61)))</f>
        <v>142.59999999999997</v>
      </c>
      <c r="BZ62" s="14">
        <f>BY62*VLOOKUP('Données projet'!$B$12,Paramètres!$A$1:$I$89,3,0)*VLOOKUP('Données projet'!$B$12,Paramètres!$A$1:$I$89,5,0)</f>
        <v>153.49463999999995</v>
      </c>
      <c r="CA62" s="14">
        <f t="shared" si="39"/>
        <v>39.371687492841346</v>
      </c>
      <c r="CB62" s="22">
        <f t="shared" si="10"/>
        <v>335.90885371669856</v>
      </c>
      <c r="CC62" s="60">
        <f t="shared" si="11"/>
        <v>629.24218705003182</v>
      </c>
      <c r="CD62" s="60">
        <f ca="1">AVERAGE(OFFSET($CC$3,0,0,'Données projet'!$E$12+1,1))-AVERAGE(OFFSET($H$3,0,0,'Données projet'!$E$12+1,1))</f>
        <v>380.16582491288449</v>
      </c>
      <c r="CE62" s="60">
        <f t="shared" si="40"/>
        <v>166.97658184507776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5.4</v>
      </c>
      <c r="CT62" s="13">
        <f>IF('Données projet'!$A$140&gt;35,CT61+CS62-DB61,IF(A62&lt;'Données projet'!$A$140,$CQ$205^A62,IF(A62='Données projet'!$A$140,'Données projet'!$B$140,CT61+CS62-DB61)))</f>
        <v>142.59999999999997</v>
      </c>
      <c r="CU62" s="18">
        <f>CT62*VLOOKUP('Données projet'!$B$13,Paramètres!$A$1:$I$89,3,0)*VLOOKUP('Données projet'!$B$13,Paramètres!$A$1:$I$89,5,0)</f>
        <v>137.92271999999997</v>
      </c>
      <c r="CV62" s="14">
        <f t="shared" si="41"/>
        <v>35.82071658526872</v>
      </c>
      <c r="CW62" s="22">
        <f t="shared" si="13"/>
        <v>302.60315205267631</v>
      </c>
      <c r="CX62" s="60">
        <f t="shared" si="14"/>
        <v>595.93648538600962</v>
      </c>
      <c r="CY62" s="60">
        <f ca="1">AVERAGE(OFFSET($CX$3,0,0,'Données projet'!$E$13+1,1))-AVERAGE(OFFSET($H$3,0,0,'Données projet'!$E$13+1,1))</f>
        <v>345.71694170753534</v>
      </c>
      <c r="CZ62" s="60">
        <f t="shared" si="42"/>
        <v>154.08406475869634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0">
        <f t="shared" si="0"/>
        <v>714.76126520309413</v>
      </c>
      <c r="S63" s="60">
        <f ca="1">AVERAGE(OFFSET($R$3,0,0,'Données projet'!$E$9+1,1))-AVERAGE(OFFSET($H$3,0,0,'Données projet'!$E$9+1,1))</f>
        <v>430.21146937947236</v>
      </c>
      <c r="T63" s="60">
        <f t="shared" si="34"/>
        <v>231.36959598460686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186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185.99999999999997</v>
      </c>
      <c r="AJ63" s="14">
        <f>AI63*VLOOKUP('Données projet'!$B$10,Paramètres!$A$1:$I$89,3,0)*VLOOKUP('Données projet'!$B$10,Paramètres!$A$1:$I$89,5,0)</f>
        <v>176.99759999999998</v>
      </c>
      <c r="AK63" s="14">
        <f t="shared" si="35"/>
        <v>44.653554963834047</v>
      </c>
      <c r="AL63" s="22">
        <f t="shared" si="4"/>
        <v>386.04242822867758</v>
      </c>
      <c r="AM63" s="60">
        <f t="shared" si="5"/>
        <v>679.37576156201089</v>
      </c>
      <c r="AN63" s="60">
        <f ca="1">AVERAGE(OFFSET($AM$3,0,0,'Données projet'!$E$10+1,1))-AVERAGE(OFFSET($H$3,0,0,'Données projet'!$E$10+1,1))</f>
        <v>370.04285308422544</v>
      </c>
      <c r="AO63" s="60">
        <f t="shared" si="36"/>
        <v>218.53758068502731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-2.8421709430404007E-13</v>
      </c>
      <c r="BE63" s="14">
        <f>BD63*VLOOKUP('Données projet'!$B$11,Paramètres!$A$1:$I$89,3,0)*VLOOKUP('Données projet'!$B$11,Paramètres!$A$1:$I$89,5,0)</f>
        <v>-1.69961822393816E-13</v>
      </c>
      <c r="BF63" s="14" t="e">
        <f t="shared" si="37"/>
        <v>#NUM!</v>
      </c>
      <c r="BG63" s="22" t="e">
        <f t="shared" si="7"/>
        <v>#NUM!</v>
      </c>
      <c r="BH63" s="60" t="e">
        <f t="shared" si="8"/>
        <v>#NUM!</v>
      </c>
      <c r="BI63" s="60">
        <f ca="1">AVERAGE(OFFSET($BH$3,0,0,'Données projet'!$E$11+1,1))-AVERAGE(OFFSET($H$3,0,0,'Données projet'!$E$11+1,1))</f>
        <v>225.82185458224626</v>
      </c>
      <c r="BJ63" s="60">
        <f t="shared" si="38"/>
        <v>363.02009369315243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57.878896058652622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0.19105658806774287</v>
      </c>
      <c r="BS63" s="24">
        <f t="shared" si="9"/>
        <v>58.069952646720367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148</v>
      </c>
      <c r="BW63" s="13">
        <f>VLOOKUP(A63,'Données projet'!$A$113:$I$133,9,0)</f>
        <v>5.4</v>
      </c>
      <c r="BX63" s="13">
        <f t="array" ref="BX63">INDEX(BW:BW,MIN(IF(ISNUMBER(BW63:BW259),ROW(BW63:BW259),"")))</f>
        <v>5.4</v>
      </c>
      <c r="BY63" s="13">
        <f>IF('Données projet'!$A$114&gt;35,BY62+BX63-CG62,IF(A63&lt;'Données projet'!$A$114,$BV$205^A63,IF(A63='Données projet'!$A$114,'Données projet'!$B$114,BY62+BX63-CG62)))</f>
        <v>147.99999999999997</v>
      </c>
      <c r="BZ63" s="14">
        <f>BY63*VLOOKUP('Données projet'!$B$12,Paramètres!$A$1:$I$89,3,0)*VLOOKUP('Données projet'!$B$12,Paramètres!$A$1:$I$89,5,0)</f>
        <v>159.30719999999997</v>
      </c>
      <c r="CA63" s="14">
        <f t="shared" si="39"/>
        <v>40.686212990054052</v>
      </c>
      <c r="CB63" s="22">
        <f t="shared" si="10"/>
        <v>348.32186095767742</v>
      </c>
      <c r="CC63" s="60">
        <f t="shared" si="11"/>
        <v>641.65519429101073</v>
      </c>
      <c r="CD63" s="60">
        <f ca="1">AVERAGE(OFFSET($CC$3,0,0,'Données projet'!$E$12+1,1))-AVERAGE(OFFSET($H$3,0,0,'Données projet'!$E$12+1,1))</f>
        <v>380.16582491288449</v>
      </c>
      <c r="CE63" s="60">
        <f t="shared" si="40"/>
        <v>166.97658184507776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148</v>
      </c>
      <c r="CR63" s="13">
        <f>VLOOKUP(A63,'Données projet'!$A$139:$I$159,9,0)</f>
        <v>5.4</v>
      </c>
      <c r="CS63" s="13">
        <f t="array" ref="CS63">INDEX(CR:CR,MIN(IF(ISNUMBER(CR63:CR259),ROW(CR63:CR259),"")))</f>
        <v>5.4</v>
      </c>
      <c r="CT63" s="13">
        <f>IF('Données projet'!$A$140&gt;35,CT62+CS63-DB62,IF(A63&lt;'Données projet'!$A$140,$CQ$205^A63,IF(A63='Données projet'!$A$140,'Données projet'!$B$140,CT62+CS63-DB62)))</f>
        <v>147.99999999999997</v>
      </c>
      <c r="CU63" s="18">
        <f>CT63*VLOOKUP('Données projet'!$B$13,Paramètres!$A$1:$I$89,3,0)*VLOOKUP('Données projet'!$B$13,Paramètres!$A$1:$I$89,5,0)</f>
        <v>143.14559999999997</v>
      </c>
      <c r="CV63" s="14">
        <f t="shared" si="41"/>
        <v>37.01668374538415</v>
      </c>
      <c r="CW63" s="22">
        <f t="shared" si="13"/>
        <v>313.78264418987732</v>
      </c>
      <c r="CX63" s="60">
        <f t="shared" si="14"/>
        <v>607.11597752321063</v>
      </c>
      <c r="CY63" s="60">
        <f ca="1">AVERAGE(OFFSET($CX$3,0,0,'Données projet'!$E$13+1,1))-AVERAGE(OFFSET($H$3,0,0,'Données projet'!$E$13+1,1))</f>
        <v>345.71694170753534</v>
      </c>
      <c r="CZ63" s="60">
        <f t="shared" si="42"/>
        <v>154.08406475869634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0">
        <f t="shared" si="0"/>
        <v>728.60558273797562</v>
      </c>
      <c r="S64" s="60">
        <f ca="1">AVERAGE(OFFSET($R$3,0,0,'Données projet'!$E$9+1,1))-AVERAGE(OFFSET($H$3,0,0,'Données projet'!$E$9+1,1))</f>
        <v>430.21146937947236</v>
      </c>
      <c r="T64" s="60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</v>
      </c>
      <c r="AI64" s="14">
        <f>IF('Données projet'!$A$62&gt;35,AI63+AH64-AQ63,IF(A64&lt;'Données projet'!$A$62,$AF$205^A64,IF(A64='Données projet'!$A$62,'Données projet'!$B$62,AI63+AH64-AQ63)))</f>
        <v>190.99999999999997</v>
      </c>
      <c r="AJ64" s="14">
        <f>AI64*VLOOKUP('Données projet'!$B$10,Paramètres!$A$1:$I$89,3,0)*VLOOKUP('Données projet'!$B$10,Paramètres!$A$1:$I$89,5,0)</f>
        <v>181.75559999999996</v>
      </c>
      <c r="AK64" s="14">
        <f t="shared" si="35"/>
        <v>45.712553906843745</v>
      </c>
      <c r="AL64" s="22">
        <f t="shared" si="4"/>
        <v>396.17370138775277</v>
      </c>
      <c r="AM64" s="60">
        <f t="shared" si="5"/>
        <v>689.50703472108603</v>
      </c>
      <c r="AN64" s="60">
        <f ca="1">AVERAGE(OFFSET($AM$3,0,0,'Données projet'!$E$10+1,1))-AVERAGE(OFFSET($H$3,0,0,'Données projet'!$E$10+1,1))</f>
        <v>370.04285308422544</v>
      </c>
      <c r="AO64" s="60">
        <f t="shared" si="36"/>
        <v>218.53758068502731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-2.8421709430404007E-13</v>
      </c>
      <c r="BE64" s="14">
        <f>BD64*VLOOKUP('Données projet'!$B$11,Paramètres!$A$1:$I$89,3,0)*VLOOKUP('Données projet'!$B$11,Paramètres!$A$1:$I$89,5,0)</f>
        <v>-1.69961822393816E-13</v>
      </c>
      <c r="BF64" s="14" t="e">
        <f t="shared" si="37"/>
        <v>#NUM!</v>
      </c>
      <c r="BG64" s="22" t="e">
        <f t="shared" si="7"/>
        <v>#NUM!</v>
      </c>
      <c r="BH64" s="60" t="e">
        <f t="shared" si="8"/>
        <v>#NUM!</v>
      </c>
      <c r="BI64" s="60">
        <f ca="1">AVERAGE(OFFSET($BH$3,0,0,'Données projet'!$E$11+1,1))-AVERAGE(OFFSET($H$3,0,0,'Données projet'!$E$11+1,1))</f>
        <v>225.82185458224626</v>
      </c>
      <c r="BJ64" s="60">
        <f t="shared" si="38"/>
        <v>363.02009369315243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56.743926209583194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0.1350974090130658</v>
      </c>
      <c r="BS64" s="24">
        <f t="shared" si="9"/>
        <v>56.879023618596257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5.4</v>
      </c>
      <c r="BY64" s="13">
        <f>IF('Données projet'!$A$114&gt;35,BY63+BX64-CG63,IF(A64&lt;'Données projet'!$A$114,$BV$205^A64,IF(A64='Données projet'!$A$114,'Données projet'!$B$114,BY63+BX64-CG63)))</f>
        <v>153.39999999999998</v>
      </c>
      <c r="BZ64" s="14">
        <f>BY64*VLOOKUP('Données projet'!$B$12,Paramètres!$A$1:$I$89,3,0)*VLOOKUP('Données projet'!$B$12,Paramètres!$A$1:$I$89,5,0)</f>
        <v>165.11975999999996</v>
      </c>
      <c r="CA64" s="14">
        <f t="shared" si="39"/>
        <v>41.995166194425131</v>
      </c>
      <c r="CB64" s="22">
        <f t="shared" si="10"/>
        <v>360.725163121957</v>
      </c>
      <c r="CC64" s="60">
        <f t="shared" si="11"/>
        <v>654.05849645529031</v>
      </c>
      <c r="CD64" s="60">
        <f ca="1">AVERAGE(OFFSET($CC$3,0,0,'Données projet'!$E$12+1,1))-AVERAGE(OFFSET($H$3,0,0,'Données projet'!$E$12+1,1))</f>
        <v>380.16582491288449</v>
      </c>
      <c r="CE64" s="60">
        <f t="shared" si="40"/>
        <v>166.97658184507776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5.4</v>
      </c>
      <c r="CT64" s="13">
        <f>IF('Données projet'!$A$140&gt;35,CT63+CS64-DB63,IF(A64&lt;'Données projet'!$A$140,$CQ$205^A64,IF(A64='Données projet'!$A$140,'Données projet'!$B$140,CT63+CS64-DB63)))</f>
        <v>153.39999999999998</v>
      </c>
      <c r="CU64" s="18">
        <f>CT64*VLOOKUP('Données projet'!$B$13,Paramètres!$A$1:$I$89,3,0)*VLOOKUP('Données projet'!$B$13,Paramètres!$A$1:$I$89,5,0)</f>
        <v>148.36847999999998</v>
      </c>
      <c r="CV64" s="14">
        <f t="shared" si="41"/>
        <v>38.207581183185901</v>
      </c>
      <c r="CW64" s="22">
        <f t="shared" si="13"/>
        <v>324.95330656071542</v>
      </c>
      <c r="CX64" s="60">
        <f t="shared" si="14"/>
        <v>618.28663989404868</v>
      </c>
      <c r="CY64" s="60">
        <f ca="1">AVERAGE(OFFSET($CX$3,0,0,'Données projet'!$E$13+1,1))-AVERAGE(OFFSET($H$3,0,0,'Données projet'!$E$13+1,1))</f>
        <v>345.71694170753534</v>
      </c>
      <c r="CZ64" s="60">
        <f t="shared" si="42"/>
        <v>154.08406475869634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0">
        <f t="shared" si="0"/>
        <v>742.44045154863397</v>
      </c>
      <c r="S65" s="60">
        <f ca="1">AVERAGE(OFFSET($R$3,0,0,'Données projet'!$E$9+1,1))-AVERAGE(OFFSET($H$3,0,0,'Données projet'!$E$9+1,1))</f>
        <v>430.21146937947236</v>
      </c>
      <c r="T65" s="60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</v>
      </c>
      <c r="AI65" s="14">
        <f>IF('Données projet'!$A$62&gt;35,AI64+AH65-AQ64,IF(A65&lt;'Données projet'!$A$62,$AF$205^A65,IF(A65='Données projet'!$A$62,'Données projet'!$B$62,AI64+AH65-AQ64)))</f>
        <v>195.99999999999997</v>
      </c>
      <c r="AJ65" s="14">
        <f>AI65*VLOOKUP('Données projet'!$B$10,Paramètres!$A$1:$I$89,3,0)*VLOOKUP('Données projet'!$B$10,Paramètres!$A$1:$I$89,5,0)</f>
        <v>186.51359999999997</v>
      </c>
      <c r="AK65" s="14">
        <f t="shared" si="35"/>
        <v>46.76833047499894</v>
      </c>
      <c r="AL65" s="22">
        <f t="shared" si="4"/>
        <v>406.29936224395647</v>
      </c>
      <c r="AM65" s="60">
        <f t="shared" si="5"/>
        <v>699.63269557728972</v>
      </c>
      <c r="AN65" s="60">
        <f ca="1">AVERAGE(OFFSET($AM$3,0,0,'Données projet'!$E$10+1,1))-AVERAGE(OFFSET($H$3,0,0,'Données projet'!$E$10+1,1))</f>
        <v>370.04285308422544</v>
      </c>
      <c r="AO65" s="60">
        <f t="shared" si="36"/>
        <v>218.53758068502731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-2.8421709430404007E-13</v>
      </c>
      <c r="BE65" s="14">
        <f>BD65*VLOOKUP('Données projet'!$B$11,Paramètres!$A$1:$I$89,3,0)*VLOOKUP('Données projet'!$B$11,Paramètres!$A$1:$I$89,5,0)</f>
        <v>-1.69961822393816E-13</v>
      </c>
      <c r="BF65" s="14" t="e">
        <f t="shared" si="37"/>
        <v>#NUM!</v>
      </c>
      <c r="BG65" s="22" t="e">
        <f t="shared" si="7"/>
        <v>#NUM!</v>
      </c>
      <c r="BH65" s="60" t="e">
        <f t="shared" si="8"/>
        <v>#NUM!</v>
      </c>
      <c r="BI65" s="60">
        <f ca="1">AVERAGE(OFFSET($BH$3,0,0,'Données projet'!$E$11+1,1))-AVERAGE(OFFSET($H$3,0,0,'Données projet'!$E$11+1,1))</f>
        <v>225.82185458224626</v>
      </c>
      <c r="BJ65" s="60">
        <f t="shared" si="38"/>
        <v>363.02009369315243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55.631212426990764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9.5528294033871433E-2</v>
      </c>
      <c r="BS65" s="24">
        <f t="shared" si="9"/>
        <v>55.726740721024633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5.4</v>
      </c>
      <c r="BY65" s="13">
        <f>IF('Données projet'!$A$114&gt;35,BY64+BX65-CG64,IF(A65&lt;'Données projet'!$A$114,$BV$205^A65,IF(A65='Données projet'!$A$114,'Données projet'!$B$114,BY64+BX65-CG64)))</f>
        <v>158.79999999999998</v>
      </c>
      <c r="BZ65" s="14">
        <f>BY65*VLOOKUP('Données projet'!$B$12,Paramètres!$A$1:$I$89,3,0)*VLOOKUP('Données projet'!$B$12,Paramètres!$A$1:$I$89,5,0)</f>
        <v>170.93231999999998</v>
      </c>
      <c r="CA65" s="14">
        <f t="shared" si="39"/>
        <v>43.298765738639716</v>
      </c>
      <c r="CB65" s="22">
        <f t="shared" si="10"/>
        <v>373.11914099479742</v>
      </c>
      <c r="CC65" s="60">
        <f t="shared" si="11"/>
        <v>666.45247432813073</v>
      </c>
      <c r="CD65" s="60">
        <f ca="1">AVERAGE(OFFSET($CC$3,0,0,'Données projet'!$E$12+1,1))-AVERAGE(OFFSET($H$3,0,0,'Données projet'!$E$12+1,1))</f>
        <v>380.16582491288449</v>
      </c>
      <c r="CE65" s="60">
        <f t="shared" si="40"/>
        <v>166.97658184507776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5.4</v>
      </c>
      <c r="CT65" s="13">
        <f>IF('Données projet'!$A$140&gt;35,CT64+CS65-DB64,IF(A65&lt;'Données projet'!$A$140,$CQ$205^A65,IF(A65='Données projet'!$A$140,'Données projet'!$B$140,CT64+CS65-DB64)))</f>
        <v>158.79999999999998</v>
      </c>
      <c r="CU65" s="18">
        <f>CT65*VLOOKUP('Données projet'!$B$13,Paramètres!$A$1:$I$89,3,0)*VLOOKUP('Données projet'!$B$13,Paramètres!$A$1:$I$89,5,0)</f>
        <v>153.59135999999998</v>
      </c>
      <c r="CV65" s="14">
        <f t="shared" si="41"/>
        <v>39.393607812663873</v>
      </c>
      <c r="CW65" s="22">
        <f t="shared" si="13"/>
        <v>336.1154856070562</v>
      </c>
      <c r="CX65" s="60">
        <f t="shared" si="14"/>
        <v>629.44881894038951</v>
      </c>
      <c r="CY65" s="60">
        <f ca="1">AVERAGE(OFFSET($CX$3,0,0,'Données projet'!$E$13+1,1))-AVERAGE(OFFSET($H$3,0,0,'Données projet'!$E$13+1,1))</f>
        <v>345.71694170753534</v>
      </c>
      <c r="CZ65" s="60">
        <f t="shared" si="42"/>
        <v>154.08406475869634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213.17087999999995</v>
      </c>
      <c r="P66" s="14">
        <f t="shared" si="33"/>
        <v>52.627897224631596</v>
      </c>
      <c r="Q66" s="22">
        <f t="shared" si="53"/>
        <v>462.93287033289988</v>
      </c>
      <c r="R66" s="60">
        <f t="shared" si="0"/>
        <v>756.2662036662332</v>
      </c>
      <c r="S66" s="60">
        <f ca="1">AVERAGE(OFFSET($R$3,0,0,'Données projet'!$E$9+1,1))-AVERAGE(OFFSET($H$3,0,0,'Données projet'!$E$9+1,1))</f>
        <v>430.21146937947236</v>
      </c>
      <c r="T66" s="60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</v>
      </c>
      <c r="AI66" s="14">
        <f>IF('Données projet'!$A$62&gt;35,AI65+AH66-AQ65,IF(A66&lt;'Données projet'!$A$62,$AF$205^A66,IF(A66='Données projet'!$A$62,'Données projet'!$B$62,AI65+AH66-AQ65)))</f>
        <v>200.99999999999997</v>
      </c>
      <c r="AJ66" s="14">
        <f>AI66*VLOOKUP('Données projet'!$B$10,Paramètres!$A$1:$I$89,3,0)*VLOOKUP('Données projet'!$B$10,Paramètres!$A$1:$I$89,5,0)</f>
        <v>191.27159999999998</v>
      </c>
      <c r="AK66" s="14">
        <f t="shared" si="35"/>
        <v>47.820976324217895</v>
      </c>
      <c r="AL66" s="22">
        <f t="shared" si="4"/>
        <v>416.41957043134607</v>
      </c>
      <c r="AM66" s="60">
        <f t="shared" si="5"/>
        <v>709.75290376467933</v>
      </c>
      <c r="AN66" s="60">
        <f ca="1">AVERAGE(OFFSET($AM$3,0,0,'Données projet'!$E$10+1,1))-AVERAGE(OFFSET($H$3,0,0,'Données projet'!$E$10+1,1))</f>
        <v>370.04285308422544</v>
      </c>
      <c r="AO66" s="60">
        <f t="shared" si="36"/>
        <v>218.53758068502731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-2.8421709430404007E-13</v>
      </c>
      <c r="BE66" s="14">
        <f>BD66*VLOOKUP('Données projet'!$B$11,Paramètres!$A$1:$I$89,3,0)*VLOOKUP('Données projet'!$B$11,Paramètres!$A$1:$I$89,5,0)</f>
        <v>-1.69961822393816E-13</v>
      </c>
      <c r="BF66" s="14" t="e">
        <f t="shared" si="37"/>
        <v>#NUM!</v>
      </c>
      <c r="BG66" s="22" t="e">
        <f t="shared" si="7"/>
        <v>#NUM!</v>
      </c>
      <c r="BH66" s="60" t="e">
        <f t="shared" si="8"/>
        <v>#NUM!</v>
      </c>
      <c r="BI66" s="60">
        <f ca="1">AVERAGE(OFFSET($BH$3,0,0,'Données projet'!$E$11+1,1))-AVERAGE(OFFSET($H$3,0,0,'Données projet'!$E$11+1,1))</f>
        <v>225.82185458224626</v>
      </c>
      <c r="BJ66" s="60">
        <f t="shared" si="38"/>
        <v>363.02009369315243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54.540318282986583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6.75487045065329E-2</v>
      </c>
      <c r="BS66" s="24">
        <f t="shared" si="9"/>
        <v>54.607866987493118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5.4</v>
      </c>
      <c r="BY66" s="13">
        <f>IF('Données projet'!$A$114&gt;35,BY65+BX66-CG65,IF(A66&lt;'Données projet'!$A$114,$BV$205^A66,IF(A66='Données projet'!$A$114,'Données projet'!$B$114,BY65+BX66-CG65)))</f>
        <v>164.2</v>
      </c>
      <c r="BZ66" s="14">
        <f>BY66*VLOOKUP('Données projet'!$B$12,Paramètres!$A$1:$I$89,3,0)*VLOOKUP('Données projet'!$B$12,Paramètres!$A$1:$I$89,5,0)</f>
        <v>176.74487999999999</v>
      </c>
      <c r="CA66" s="14">
        <f t="shared" si="39"/>
        <v>44.59721454265302</v>
      </c>
      <c r="CB66" s="22">
        <f t="shared" si="10"/>
        <v>385.5041479951206</v>
      </c>
      <c r="CC66" s="60">
        <f t="shared" si="11"/>
        <v>678.83748132845392</v>
      </c>
      <c r="CD66" s="60">
        <f ca="1">AVERAGE(OFFSET($CC$3,0,0,'Données projet'!$E$12+1,1))-AVERAGE(OFFSET($H$3,0,0,'Données projet'!$E$12+1,1))</f>
        <v>380.16582491288449</v>
      </c>
      <c r="CE66" s="60">
        <f t="shared" si="40"/>
        <v>166.97658184507776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5.4</v>
      </c>
      <c r="CT66" s="13">
        <f>IF('Données projet'!$A$140&gt;35,CT65+CS66-DB65,IF(A66&lt;'Données projet'!$A$140,$CQ$205^A66,IF(A66='Données projet'!$A$140,'Données projet'!$B$140,CT65+CS66-DB65)))</f>
        <v>164.2</v>
      </c>
      <c r="CU66" s="18">
        <f>CT66*VLOOKUP('Données projet'!$B$13,Paramètres!$A$1:$I$89,3,0)*VLOOKUP('Données projet'!$B$13,Paramètres!$A$1:$I$89,5,0)</f>
        <v>158.81423999999998</v>
      </c>
      <c r="CV66" s="14">
        <f t="shared" si="41"/>
        <v>40.574948252224658</v>
      </c>
      <c r="CW66" s="22">
        <f t="shared" si="13"/>
        <v>347.26950287262457</v>
      </c>
      <c r="CX66" s="60">
        <f t="shared" si="14"/>
        <v>640.60283620595783</v>
      </c>
      <c r="CY66" s="60">
        <f ca="1">AVERAGE(OFFSET($CX$3,0,0,'Données projet'!$E$13+1,1))-AVERAGE(OFFSET($H$3,0,0,'Données projet'!$E$13+1,1))</f>
        <v>345.71694170753534</v>
      </c>
      <c r="CZ66" s="60">
        <f t="shared" si="42"/>
        <v>154.08406475869634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219.68543999999994</v>
      </c>
      <c r="P67" s="14">
        <f t="shared" si="33"/>
        <v>54.046511966469559</v>
      </c>
      <c r="Q67" s="22">
        <f t="shared" ref="Q67:Q98" si="54">(O67+P67)*0.475*44/12</f>
        <v>476.74981634160105</v>
      </c>
      <c r="R67" s="60">
        <f t="shared" ref="R67:R130" si="55">Q67+(I67+J67)*44/12</f>
        <v>770.08314967493436</v>
      </c>
      <c r="S67" s="60">
        <f ca="1">AVERAGE(OFFSET($R$3,0,0,'Données projet'!$E$9+1,1))-AVERAGE(OFFSET($H$3,0,0,'Données projet'!$E$9+1,1))</f>
        <v>430.21146937947236</v>
      </c>
      <c r="T67" s="60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</v>
      </c>
      <c r="AI67" s="14">
        <f>IF('Données projet'!$A$62&gt;35,AI66+AH67-AQ66,IF(A67&lt;'Données projet'!$A$62,$AF$205^A67,IF(A67='Données projet'!$A$62,'Données projet'!$B$62,AI66+AH67-AQ66)))</f>
        <v>205.99999999999997</v>
      </c>
      <c r="AJ67" s="14">
        <f>AI67*VLOOKUP('Données projet'!$B$10,Paramètres!$A$1:$I$89,3,0)*VLOOKUP('Données projet'!$B$10,Paramètres!$A$1:$I$89,5,0)</f>
        <v>196.02959999999999</v>
      </c>
      <c r="AK67" s="14">
        <f t="shared" si="35"/>
        <v>48.870578290511943</v>
      </c>
      <c r="AL67" s="22">
        <f t="shared" si="4"/>
        <v>426.53447718930823</v>
      </c>
      <c r="AM67" s="60">
        <f t="shared" si="5"/>
        <v>719.86781052264155</v>
      </c>
      <c r="AN67" s="60">
        <f ca="1">AVERAGE(OFFSET($AM$3,0,0,'Données projet'!$E$10+1,1))-AVERAGE(OFFSET($H$3,0,0,'Données projet'!$E$10+1,1))</f>
        <v>370.04285308422544</v>
      </c>
      <c r="AO67" s="60">
        <f t="shared" si="36"/>
        <v>218.53758068502731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-2.8421709430404007E-13</v>
      </c>
      <c r="BE67" s="14">
        <f>BD67*VLOOKUP('Données projet'!$B$11,Paramètres!$A$1:$I$89,3,0)*VLOOKUP('Données projet'!$B$11,Paramètres!$A$1:$I$89,5,0)</f>
        <v>-1.69961822393816E-13</v>
      </c>
      <c r="BF67" s="14" t="e">
        <f t="shared" si="37"/>
        <v>#NUM!</v>
      </c>
      <c r="BG67" s="22" t="e">
        <f t="shared" si="7"/>
        <v>#NUM!</v>
      </c>
      <c r="BH67" s="60" t="e">
        <f t="shared" si="8"/>
        <v>#NUM!</v>
      </c>
      <c r="BI67" s="60">
        <f ca="1">AVERAGE(OFFSET($BH$3,0,0,'Données projet'!$E$11+1,1))-AVERAGE(OFFSET($H$3,0,0,'Données projet'!$E$11+1,1))</f>
        <v>225.82185458224626</v>
      </c>
      <c r="BJ67" s="60">
        <f t="shared" si="38"/>
        <v>363.02009369315243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53.470815907766593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4.7764147016935717E-2</v>
      </c>
      <c r="BS67" s="24">
        <f t="shared" si="9"/>
        <v>53.518580054783527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5.4</v>
      </c>
      <c r="BY67" s="13">
        <f>IF('Données projet'!$A$114&gt;35,BY66+BX67-CG66,IF(A67&lt;'Données projet'!$A$114,$BV$205^A67,IF(A67='Données projet'!$A$114,'Données projet'!$B$114,BY66+BX67-CG66)))</f>
        <v>169.6</v>
      </c>
      <c r="BZ67" s="14">
        <f>BY67*VLOOKUP('Données projet'!$B$12,Paramètres!$A$1:$I$89,3,0)*VLOOKUP('Données projet'!$B$12,Paramètres!$A$1:$I$89,5,0)</f>
        <v>182.55743999999999</v>
      </c>
      <c r="CA67" s="14">
        <f t="shared" si="39"/>
        <v>45.890701422165712</v>
      </c>
      <c r="CB67" s="22">
        <f t="shared" si="10"/>
        <v>397.88051297693852</v>
      </c>
      <c r="CC67" s="60">
        <f t="shared" si="11"/>
        <v>691.21384631027183</v>
      </c>
      <c r="CD67" s="60">
        <f ca="1">AVERAGE(OFFSET($CC$3,0,0,'Données projet'!$E$12+1,1))-AVERAGE(OFFSET($H$3,0,0,'Données projet'!$E$12+1,1))</f>
        <v>380.16582491288449</v>
      </c>
      <c r="CE67" s="60">
        <f t="shared" si="40"/>
        <v>166.97658184507776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5.4</v>
      </c>
      <c r="CT67" s="13">
        <f>IF('Données projet'!$A$140&gt;35,CT66+CS67-DB66,IF(A67&lt;'Données projet'!$A$140,$CQ$205^A67,IF(A67='Données projet'!$A$140,'Données projet'!$B$140,CT66+CS67-DB66)))</f>
        <v>169.6</v>
      </c>
      <c r="CU67" s="18">
        <f>CT67*VLOOKUP('Données projet'!$B$13,Paramètres!$A$1:$I$89,3,0)*VLOOKUP('Données projet'!$B$13,Paramètres!$A$1:$I$89,5,0)</f>
        <v>164.03712000000002</v>
      </c>
      <c r="CV67" s="14">
        <f t="shared" si="41"/>
        <v>41.75177428809652</v>
      </c>
      <c r="CW67" s="22">
        <f t="shared" si="13"/>
        <v>358.41565755176816</v>
      </c>
      <c r="CX67" s="60">
        <f t="shared" si="14"/>
        <v>651.74899088510142</v>
      </c>
      <c r="CY67" s="60">
        <f ca="1">AVERAGE(OFFSET($CX$3,0,0,'Données projet'!$E$13+1,1))-AVERAGE(OFFSET($H$3,0,0,'Données projet'!$E$13+1,1))</f>
        <v>345.71694170753534</v>
      </c>
      <c r="CZ67" s="60">
        <f t="shared" si="42"/>
        <v>154.08406475869634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226.19999999999993</v>
      </c>
      <c r="P68" s="14">
        <f t="shared" si="33"/>
        <v>55.460237717698107</v>
      </c>
      <c r="Q68" s="22">
        <f t="shared" si="54"/>
        <v>490.55824735832402</v>
      </c>
      <c r="R68" s="60">
        <f t="shared" si="55"/>
        <v>783.89158069165728</v>
      </c>
      <c r="S68" s="60">
        <f ca="1">AVERAGE(OFFSET($R$3,0,0,'Données projet'!$E$9+1,1))-AVERAGE(OFFSET($H$3,0,0,'Données projet'!$E$9+1,1))</f>
        <v>430.21146937947236</v>
      </c>
      <c r="T68" s="60">
        <f t="shared" si="34"/>
        <v>231.36959598460686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211</v>
      </c>
      <c r="AG68" s="13">
        <f>VLOOKUP(A68,'Données projet'!$A$61:$I$81,9,0)</f>
        <v>5</v>
      </c>
      <c r="AH68" s="13">
        <f t="array" ref="AH68">INDEX(AG:AG,MIN(IF(ISNUMBER(AG68:AG264),ROW(AG68:AG264),"")))</f>
        <v>5</v>
      </c>
      <c r="AI68" s="14">
        <f>IF('Données projet'!$A$62&gt;35,AI67+AH68-AQ67,IF(A68&lt;'Données projet'!$A$62,$AF$205^A68,IF(A68='Données projet'!$A$62,'Données projet'!$B$62,AI67+AH68-AQ67)))</f>
        <v>210.99999999999997</v>
      </c>
      <c r="AJ68" s="14">
        <f>AI68*VLOOKUP('Données projet'!$B$10,Paramètres!$A$1:$I$89,3,0)*VLOOKUP('Données projet'!$B$10,Paramètres!$A$1:$I$89,5,0)</f>
        <v>200.78759999999997</v>
      </c>
      <c r="AK68" s="14">
        <f t="shared" si="35"/>
        <v>49.917218754196632</v>
      </c>
      <c r="AL68" s="22">
        <f t="shared" ref="AL68:AL131" si="58">(AJ68+AK68)*0.475*44/12</f>
        <v>436.64422599689237</v>
      </c>
      <c r="AM68" s="60">
        <f t="shared" ref="AM68:AM131" si="59">AL68+(AD68+AE68)*44/12</f>
        <v>729.97755933022563</v>
      </c>
      <c r="AN68" s="60">
        <f ca="1">AVERAGE(OFFSET($AM$3,0,0,'Données projet'!$E$10+1,1))-AVERAGE(OFFSET($H$3,0,0,'Données projet'!$E$10+1,1))</f>
        <v>370.04285308422544</v>
      </c>
      <c r="AO68" s="60">
        <f t="shared" si="36"/>
        <v>218.53758068502731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-2.8421709430404007E-13</v>
      </c>
      <c r="BE68" s="14">
        <f>BD68*VLOOKUP('Données projet'!$B$11,Paramètres!$A$1:$I$89,3,0)*VLOOKUP('Données projet'!$B$11,Paramètres!$A$1:$I$89,5,0)</f>
        <v>-1.69961822393816E-13</v>
      </c>
      <c r="BF68" s="14" t="e">
        <f t="shared" si="37"/>
        <v>#NUM!</v>
      </c>
      <c r="BG68" s="22" t="e">
        <f t="shared" ref="BG68:BG131" si="61">(BE68+BF68)*0.475*44/12</f>
        <v>#NUM!</v>
      </c>
      <c r="BH68" s="60" t="e">
        <f t="shared" ref="BH68:BH131" si="62">BG68+(AY68+AZ68)*44/12</f>
        <v>#NUM!</v>
      </c>
      <c r="BI68" s="60">
        <f ca="1">AVERAGE(OFFSET($BH$3,0,0,'Données projet'!$E$11+1,1))-AVERAGE(OFFSET($H$3,0,0,'Données projet'!$E$11+1,1))</f>
        <v>225.82185458224626</v>
      </c>
      <c r="BJ68" s="60">
        <f t="shared" si="38"/>
        <v>363.02009369315243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52.422285821792627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3.377435225326645E-2</v>
      </c>
      <c r="BS68" s="24">
        <f t="shared" ref="BS68:BS131" si="63">SUM(BP68:BR68)</f>
        <v>52.456060174045895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175</v>
      </c>
      <c r="BW68" s="13">
        <f>VLOOKUP(A68,'Données projet'!$A$113:$I$133,9,0)</f>
        <v>5.4</v>
      </c>
      <c r="BX68" s="13">
        <f t="array" ref="BX68">INDEX(BW:BW,MIN(IF(ISNUMBER(BW68:BW264),ROW(BW68:BW264),"")))</f>
        <v>5.4</v>
      </c>
      <c r="BY68" s="13">
        <f>IF('Données projet'!$A$114&gt;35,BY67+BX68-CG67,IF(A68&lt;'Données projet'!$A$114,$BV$205^A68,IF(A68='Données projet'!$A$114,'Données projet'!$B$114,BY67+BX68-CG67)))</f>
        <v>175</v>
      </c>
      <c r="BZ68" s="14">
        <f>BY68*VLOOKUP('Données projet'!$B$12,Paramètres!$A$1:$I$89,3,0)*VLOOKUP('Données projet'!$B$12,Paramètres!$A$1:$I$89,5,0)</f>
        <v>188.36999999999998</v>
      </c>
      <c r="CA68" s="14">
        <f t="shared" si="39"/>
        <v>47.179402486491298</v>
      </c>
      <c r="CB68" s="22">
        <f t="shared" ref="CB68:CB131" si="64">(BZ68+CA68)*0.475*44/12</f>
        <v>410.24854266397227</v>
      </c>
      <c r="CC68" s="60">
        <f t="shared" ref="CC68:CC131" si="65">CB68+(BT68+BU68)*44/12</f>
        <v>703.58187599730559</v>
      </c>
      <c r="CD68" s="60">
        <f ca="1">AVERAGE(OFFSET($CC$3,0,0,'Données projet'!$E$12+1,1))-AVERAGE(OFFSET($H$3,0,0,'Données projet'!$E$12+1,1))</f>
        <v>380.16582491288449</v>
      </c>
      <c r="CE68" s="60">
        <f t="shared" si="40"/>
        <v>166.97658184507776</v>
      </c>
      <c r="CF68" s="16">
        <f>IF(ISNA(VLOOKUP(A68,'Données projet'!$A$113:$I$133,3,0)),0,VLOOKUP(A68,'Données projet'!$A$113:$I$133,3,0))</f>
        <v>4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175</v>
      </c>
      <c r="CR68" s="13">
        <f>VLOOKUP(A68,'Données projet'!$A$139:$I$159,9,0)</f>
        <v>5.4</v>
      </c>
      <c r="CS68" s="13">
        <f t="array" ref="CS68">INDEX(CR:CR,MIN(IF(ISNUMBER(CR68:CR264),ROW(CR68:CR264),"")))</f>
        <v>5.4</v>
      </c>
      <c r="CT68" s="13">
        <f>IF('Données projet'!$A$140&gt;35,CT67+CS68-DB67,IF(A68&lt;'Données projet'!$A$140,$CQ$205^A68,IF(A68='Données projet'!$A$140,'Données projet'!$B$140,CT67+CS68-DB67)))</f>
        <v>175</v>
      </c>
      <c r="CU68" s="18">
        <f>CT68*VLOOKUP('Données projet'!$B$13,Paramètres!$A$1:$I$89,3,0)*VLOOKUP('Données projet'!$B$13,Paramètres!$A$1:$I$89,5,0)</f>
        <v>169.26000000000002</v>
      </c>
      <c r="CV68" s="14">
        <f t="shared" si="41"/>
        <v>42.924246146122272</v>
      </c>
      <c r="CW68" s="22">
        <f t="shared" ref="CW68:CW131" si="67">(CU68+CV68)*0.475*44/12</f>
        <v>369.55422870449632</v>
      </c>
      <c r="CX68" s="60">
        <f t="shared" ref="CX68:CX131" si="68">CW68+(CO68+CP68)*44/12</f>
        <v>662.88756203782964</v>
      </c>
      <c r="CY68" s="60">
        <f ca="1">AVERAGE(OFFSET($CX$3,0,0,'Données projet'!$E$13+1,1))-AVERAGE(OFFSET($H$3,0,0,'Données projet'!$E$13+1,1))</f>
        <v>345.71694170753534</v>
      </c>
      <c r="CZ68" s="60">
        <f t="shared" si="42"/>
        <v>154.08406475869634</v>
      </c>
      <c r="DA68" s="16">
        <f>IF(ISNA(VLOOKUP(A68,'Données projet'!$A$139:$I$159,3,0)),0,VLOOKUP(A68,'Données projet'!$A$139:$I$159,3,0))</f>
        <v>4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0">
        <f t="shared" si="55"/>
        <v>716.30000015441908</v>
      </c>
      <c r="S69" s="60">
        <f ca="1">AVERAGE(OFFSET($R$3,0,0,'Données projet'!$E$9+1,1))-AVERAGE(OFFSET($H$3,0,0,'Données projet'!$E$9+1,1))</f>
        <v>430.21146937947236</v>
      </c>
      <c r="T69" s="60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187.99999999999997</v>
      </c>
      <c r="AJ69" s="14">
        <f>AI69*VLOOKUP('Données projet'!$B$10,Paramètres!$A$1:$I$89,3,0)*VLOOKUP('Données projet'!$B$10,Paramètres!$A$1:$I$89,5,0)</f>
        <v>178.90079999999998</v>
      </c>
      <c r="AK69" s="14">
        <f t="shared" ref="AK69:AK132" si="89">EXP(-1.0587+0.8836*LN(AJ69)+0.284)</f>
        <v>45.077547304318657</v>
      </c>
      <c r="AL69" s="22">
        <f t="shared" si="58"/>
        <v>390.09562155502158</v>
      </c>
      <c r="AM69" s="60">
        <f t="shared" si="59"/>
        <v>683.42895488835484</v>
      </c>
      <c r="AN69" s="60">
        <f ca="1">AVERAGE(OFFSET($AM$3,0,0,'Données projet'!$E$10+1,1))-AVERAGE(OFFSET($H$3,0,0,'Données projet'!$E$10+1,1))</f>
        <v>370.04285308422544</v>
      </c>
      <c r="AO69" s="60">
        <f t="shared" ref="AO69:AO132" si="90">$AO$3</f>
        <v>218.53758068502731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-2.8421709430404007E-13</v>
      </c>
      <c r="BE69" s="14">
        <f>BD69*VLOOKUP('Données projet'!$B$11,Paramètres!$A$1:$I$89,3,0)*VLOOKUP('Données projet'!$B$11,Paramètres!$A$1:$I$89,5,0)</f>
        <v>-1.69961822393816E-13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0" t="e">
        <f t="shared" si="62"/>
        <v>#NUM!</v>
      </c>
      <c r="BI69" s="60">
        <f ca="1">AVERAGE(OFFSET($BH$3,0,0,'Données projet'!$E$11+1,1))-AVERAGE(OFFSET($H$3,0,0,'Données projet'!$E$11+1,1))</f>
        <v>225.82185458224626</v>
      </c>
      <c r="BJ69" s="60">
        <f t="shared" ref="BJ69:BJ132" si="92">$BJ$3</f>
        <v>363.02009369315243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51.394316771264414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2.3882073508467858E-2</v>
      </c>
      <c r="BS69" s="24">
        <f t="shared" si="63"/>
        <v>51.418198844772881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</v>
      </c>
      <c r="BY69" s="13">
        <f>IF('Données projet'!$A$114&gt;35,BY68+BX69-CG68,IF(A69&lt;'Données projet'!$A$114,$BV$205^A69,IF(A69='Données projet'!$A$114,'Données projet'!$B$114,BY68+BX69-CG68)))</f>
        <v>152</v>
      </c>
      <c r="BZ69" s="14">
        <f>BY69*VLOOKUP('Données projet'!$B$12,Paramètres!$A$1:$I$89,3,0)*VLOOKUP('Données projet'!$B$12,Paramètres!$A$1:$I$89,5,0)</f>
        <v>163.61279999999999</v>
      </c>
      <c r="CA69" s="14">
        <f t="shared" ref="CA69:CA132" si="93">EXP(-1.0587+0.8836*LN(BZ69)+0.284)</f>
        <v>41.656330547871804</v>
      </c>
      <c r="CB69" s="22">
        <f t="shared" si="64"/>
        <v>357.51040237087665</v>
      </c>
      <c r="CC69" s="60">
        <f t="shared" si="65"/>
        <v>650.84373570420996</v>
      </c>
      <c r="CD69" s="60">
        <f ca="1">AVERAGE(OFFSET($CC$3,0,0,'Données projet'!$E$12+1,1))-AVERAGE(OFFSET($H$3,0,0,'Données projet'!$E$12+1,1))</f>
        <v>380.16582491288449</v>
      </c>
      <c r="CE69" s="60">
        <f t="shared" ref="CE69:CE132" si="94">$CE$3</f>
        <v>166.97658184507776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152</v>
      </c>
      <c r="CU69" s="18">
        <f>CT69*VLOOKUP('Données projet'!$B$13,Paramètres!$A$1:$I$89,3,0)*VLOOKUP('Données projet'!$B$13,Paramètres!$A$1:$I$89,5,0)</f>
        <v>147.01439999999999</v>
      </c>
      <c r="CV69" s="14">
        <f t="shared" ref="CV69:CV132" si="95">EXP(-1.0587+0.8836*LN(CU69)+0.284)</f>
        <v>37.899305454176826</v>
      </c>
      <c r="CW69" s="22">
        <f t="shared" si="67"/>
        <v>322.05803699935797</v>
      </c>
      <c r="CX69" s="60">
        <f t="shared" si="68"/>
        <v>615.39137033269128</v>
      </c>
      <c r="CY69" s="60">
        <f ca="1">AVERAGE(OFFSET($CX$3,0,0,'Données projet'!$E$13+1,1))-AVERAGE(OFFSET($H$3,0,0,'Données projet'!$E$13+1,1))</f>
        <v>345.71694170753534</v>
      </c>
      <c r="CZ69" s="60">
        <f t="shared" ref="CZ69:CZ132" si="96">$CZ$3</f>
        <v>154.08406475869634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0">
        <f t="shared" si="55"/>
        <v>729.37443127719189</v>
      </c>
      <c r="S70" s="60">
        <f ca="1">AVERAGE(OFFSET($R$3,0,0,'Données projet'!$E$9+1,1))-AVERAGE(OFFSET($H$3,0,0,'Données projet'!$E$9+1,1))</f>
        <v>430.21146937947236</v>
      </c>
      <c r="T70" s="60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192.99999999999997</v>
      </c>
      <c r="AJ70" s="14">
        <f>AI70*VLOOKUP('Données projet'!$B$10,Paramètres!$A$1:$I$89,3,0)*VLOOKUP('Données projet'!$B$10,Paramètres!$A$1:$I$89,5,0)</f>
        <v>183.65879999999996</v>
      </c>
      <c r="AK70" s="14">
        <f t="shared" si="89"/>
        <v>46.135245973879186</v>
      </c>
      <c r="AL70" s="22">
        <f t="shared" si="58"/>
        <v>400.22463007117284</v>
      </c>
      <c r="AM70" s="60">
        <f t="shared" si="59"/>
        <v>693.55796340450615</v>
      </c>
      <c r="AN70" s="60">
        <f ca="1">AVERAGE(OFFSET($AM$3,0,0,'Données projet'!$E$10+1,1))-AVERAGE(OFFSET($H$3,0,0,'Données projet'!$E$10+1,1))</f>
        <v>370.04285308422544</v>
      </c>
      <c r="AO70" s="60">
        <f t="shared" si="90"/>
        <v>218.53758068502731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-2.8421709430404007E-13</v>
      </c>
      <c r="BE70" s="14">
        <f>BD70*VLOOKUP('Données projet'!$B$11,Paramètres!$A$1:$I$89,3,0)*VLOOKUP('Données projet'!$B$11,Paramètres!$A$1:$I$89,5,0)</f>
        <v>-1.69961822393816E-13</v>
      </c>
      <c r="BF70" s="14" t="e">
        <f t="shared" si="91"/>
        <v>#NUM!</v>
      </c>
      <c r="BG70" s="22" t="e">
        <f t="shared" si="61"/>
        <v>#NUM!</v>
      </c>
      <c r="BH70" s="60" t="e">
        <f t="shared" si="62"/>
        <v>#NUM!</v>
      </c>
      <c r="BI70" s="60">
        <f ca="1">AVERAGE(OFFSET($BH$3,0,0,'Données projet'!$E$11+1,1))-AVERAGE(OFFSET($H$3,0,0,'Données projet'!$E$11+1,1))</f>
        <v>225.82185458224626</v>
      </c>
      <c r="BJ70" s="60">
        <f t="shared" si="92"/>
        <v>363.02009369315243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50.386505566817846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1.6887176126633225E-2</v>
      </c>
      <c r="BS70" s="24">
        <f t="shared" si="63"/>
        <v>50.403392742944476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</v>
      </c>
      <c r="BY70" s="13">
        <f>IF('Données projet'!$A$114&gt;35,BY69+BX70-CG69,IF(A70&lt;'Données projet'!$A$114,$BV$205^A70,IF(A70='Données projet'!$A$114,'Données projet'!$B$114,BY69+BX70-CG69)))</f>
        <v>157</v>
      </c>
      <c r="BZ70" s="14">
        <f>BY70*VLOOKUP('Données projet'!$B$12,Paramètres!$A$1:$I$89,3,0)*VLOOKUP('Données projet'!$B$12,Paramètres!$A$1:$I$89,5,0)</f>
        <v>168.9948</v>
      </c>
      <c r="CA70" s="14">
        <f t="shared" si="93"/>
        <v>42.864814577758281</v>
      </c>
      <c r="CB70" s="22">
        <f t="shared" si="64"/>
        <v>368.98882872292899</v>
      </c>
      <c r="CC70" s="60">
        <f t="shared" si="65"/>
        <v>662.3221620562623</v>
      </c>
      <c r="CD70" s="60">
        <f ca="1">AVERAGE(OFFSET($CC$3,0,0,'Données projet'!$E$12+1,1))-AVERAGE(OFFSET($H$3,0,0,'Données projet'!$E$12+1,1))</f>
        <v>380.16582491288449</v>
      </c>
      <c r="CE70" s="60">
        <f t="shared" si="94"/>
        <v>166.97658184507776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157</v>
      </c>
      <c r="CU70" s="18">
        <f>CT70*VLOOKUP('Données projet'!$B$13,Paramètres!$A$1:$I$89,3,0)*VLOOKUP('Données projet'!$B$13,Paramètres!$A$1:$I$89,5,0)</f>
        <v>151.85040000000001</v>
      </c>
      <c r="CV70" s="14">
        <f t="shared" si="95"/>
        <v>38.998795130362446</v>
      </c>
      <c r="CW70" s="22">
        <f t="shared" si="67"/>
        <v>332.39568151871464</v>
      </c>
      <c r="CX70" s="60">
        <f t="shared" si="68"/>
        <v>625.72901485204795</v>
      </c>
      <c r="CY70" s="60">
        <f ca="1">AVERAGE(OFFSET($CX$3,0,0,'Données projet'!$E$13+1,1))-AVERAGE(OFFSET($H$3,0,0,'Données projet'!$E$13+1,1))</f>
        <v>345.71694170753534</v>
      </c>
      <c r="CZ70" s="60">
        <f t="shared" si="96"/>
        <v>154.08406475869634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0">
        <f t="shared" si="55"/>
        <v>742.44045154863397</v>
      </c>
      <c r="S71" s="60">
        <f ca="1">AVERAGE(OFFSET($R$3,0,0,'Données projet'!$E$9+1,1))-AVERAGE(OFFSET($H$3,0,0,'Données projet'!$E$9+1,1))</f>
        <v>430.21146937947236</v>
      </c>
      <c r="T71" s="60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197.99999999999997</v>
      </c>
      <c r="AJ71" s="14">
        <f>AI71*VLOOKUP('Données projet'!$B$10,Paramètres!$A$1:$I$89,3,0)*VLOOKUP('Données projet'!$B$10,Paramètres!$A$1:$I$89,5,0)</f>
        <v>188.41679999999999</v>
      </c>
      <c r="AK71" s="14">
        <f t="shared" si="89"/>
        <v>47.189759534268674</v>
      </c>
      <c r="AL71" s="22">
        <f t="shared" si="58"/>
        <v>410.34809118885124</v>
      </c>
      <c r="AM71" s="60">
        <f t="shared" si="59"/>
        <v>703.68142452218456</v>
      </c>
      <c r="AN71" s="60">
        <f ca="1">AVERAGE(OFFSET($AM$3,0,0,'Données projet'!$E$10+1,1))-AVERAGE(OFFSET($H$3,0,0,'Données projet'!$E$10+1,1))</f>
        <v>370.04285308422544</v>
      </c>
      <c r="AO71" s="60">
        <f t="shared" si="90"/>
        <v>218.53758068502731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-2.8421709430404007E-13</v>
      </c>
      <c r="BE71" s="14">
        <f>BD71*VLOOKUP('Données projet'!$B$11,Paramètres!$A$1:$I$89,3,0)*VLOOKUP('Données projet'!$B$11,Paramètres!$A$1:$I$89,5,0)</f>
        <v>-1.69961822393816E-13</v>
      </c>
      <c r="BF71" s="14" t="e">
        <f t="shared" si="91"/>
        <v>#NUM!</v>
      </c>
      <c r="BG71" s="22" t="e">
        <f t="shared" si="61"/>
        <v>#NUM!</v>
      </c>
      <c r="BH71" s="60" t="e">
        <f t="shared" si="62"/>
        <v>#NUM!</v>
      </c>
      <c r="BI71" s="60">
        <f ca="1">AVERAGE(OFFSET($BH$3,0,0,'Données projet'!$E$11+1,1))-AVERAGE(OFFSET($H$3,0,0,'Données projet'!$E$11+1,1))</f>
        <v>225.82185458224626</v>
      </c>
      <c r="BJ71" s="60">
        <f t="shared" si="92"/>
        <v>363.02009369315243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49.398456925386341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1.1941036754233929E-2</v>
      </c>
      <c r="BS71" s="24">
        <f t="shared" si="63"/>
        <v>49.410397962140578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</v>
      </c>
      <c r="BY71" s="13">
        <f>IF('Données projet'!$A$114&gt;35,BY70+BX71-CG70,IF(A71&lt;'Données projet'!$A$114,$BV$205^A71,IF(A71='Données projet'!$A$114,'Données projet'!$B$114,BY70+BX71-CG70)))</f>
        <v>162</v>
      </c>
      <c r="BZ71" s="14">
        <f>BY71*VLOOKUP('Données projet'!$B$12,Paramètres!$A$1:$I$89,3,0)*VLOOKUP('Données projet'!$B$12,Paramètres!$A$1:$I$89,5,0)</f>
        <v>174.37679999999997</v>
      </c>
      <c r="CA71" s="14">
        <f t="shared" si="93"/>
        <v>44.06882624410639</v>
      </c>
      <c r="CB71" s="22">
        <f t="shared" si="64"/>
        <v>380.45946570848531</v>
      </c>
      <c r="CC71" s="60">
        <f t="shared" si="65"/>
        <v>673.79279904181863</v>
      </c>
      <c r="CD71" s="60">
        <f ca="1">AVERAGE(OFFSET($CC$3,0,0,'Données projet'!$E$12+1,1))-AVERAGE(OFFSET($H$3,0,0,'Données projet'!$E$12+1,1))</f>
        <v>380.16582491288449</v>
      </c>
      <c r="CE71" s="60">
        <f t="shared" si="94"/>
        <v>166.97658184507776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162</v>
      </c>
      <c r="CU71" s="18">
        <f>CT71*VLOOKUP('Données projet'!$B$13,Paramètres!$A$1:$I$89,3,0)*VLOOKUP('Données projet'!$B$13,Paramètres!$A$1:$I$89,5,0)</f>
        <v>156.68639999999999</v>
      </c>
      <c r="CV71" s="14">
        <f t="shared" si="95"/>
        <v>40.094215809840712</v>
      </c>
      <c r="CW71" s="22">
        <f t="shared" si="67"/>
        <v>342.7262392021392</v>
      </c>
      <c r="CX71" s="60">
        <f t="shared" si="68"/>
        <v>636.05957253547251</v>
      </c>
      <c r="CY71" s="60">
        <f ca="1">AVERAGE(OFFSET($CX$3,0,0,'Données projet'!$E$13+1,1))-AVERAGE(OFFSET($H$3,0,0,'Données projet'!$E$13+1,1))</f>
        <v>345.71694170753534</v>
      </c>
      <c r="CZ71" s="60">
        <f t="shared" si="96"/>
        <v>154.08406475869634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0">
        <f t="shared" si="55"/>
        <v>755.49834012695419</v>
      </c>
      <c r="S72" s="60">
        <f ca="1">AVERAGE(OFFSET($R$3,0,0,'Données projet'!$E$9+1,1))-AVERAGE(OFFSET($H$3,0,0,'Données projet'!$E$9+1,1))</f>
        <v>430.21146937947236</v>
      </c>
      <c r="T72" s="60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202.99999999999997</v>
      </c>
      <c r="AJ72" s="14">
        <f>AI72*VLOOKUP('Données projet'!$B$10,Paramètres!$A$1:$I$89,3,0)*VLOOKUP('Données projet'!$B$10,Paramètres!$A$1:$I$89,5,0)</f>
        <v>193.17479999999998</v>
      </c>
      <c r="AK72" s="14">
        <f t="shared" si="89"/>
        <v>48.241177667270811</v>
      </c>
      <c r="AL72" s="22">
        <f t="shared" si="58"/>
        <v>420.46616110382996</v>
      </c>
      <c r="AM72" s="60">
        <f t="shared" si="59"/>
        <v>713.79949443716328</v>
      </c>
      <c r="AN72" s="60">
        <f ca="1">AVERAGE(OFFSET($AM$3,0,0,'Données projet'!$E$10+1,1))-AVERAGE(OFFSET($H$3,0,0,'Données projet'!$E$10+1,1))</f>
        <v>370.04285308422544</v>
      </c>
      <c r="AO72" s="60">
        <f t="shared" si="90"/>
        <v>218.53758068502731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-2.8421709430404007E-13</v>
      </c>
      <c r="BE72" s="14">
        <f>BD72*VLOOKUP('Données projet'!$B$11,Paramètres!$A$1:$I$89,3,0)*VLOOKUP('Données projet'!$B$11,Paramètres!$A$1:$I$89,5,0)</f>
        <v>-1.69961822393816E-13</v>
      </c>
      <c r="BF72" s="14" t="e">
        <f t="shared" si="91"/>
        <v>#NUM!</v>
      </c>
      <c r="BG72" s="22" t="e">
        <f t="shared" si="61"/>
        <v>#NUM!</v>
      </c>
      <c r="BH72" s="60" t="e">
        <f t="shared" si="62"/>
        <v>#NUM!</v>
      </c>
      <c r="BI72" s="60">
        <f ca="1">AVERAGE(OFFSET($BH$3,0,0,'Données projet'!$E$11+1,1))-AVERAGE(OFFSET($H$3,0,0,'Données projet'!$E$11+1,1))</f>
        <v>225.82185458224626</v>
      </c>
      <c r="BJ72" s="60">
        <f t="shared" si="92"/>
        <v>363.02009369315243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48.429783315163142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8.4435880633166125E-3</v>
      </c>
      <c r="BS72" s="24">
        <f t="shared" si="63"/>
        <v>48.438226903226457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</v>
      </c>
      <c r="BY72" s="13">
        <f>IF('Données projet'!$A$114&gt;35,BY71+BX72-CG71,IF(A72&lt;'Données projet'!$A$114,$BV$205^A72,IF(A72='Données projet'!$A$114,'Données projet'!$B$114,BY71+BX72-CG71)))</f>
        <v>167</v>
      </c>
      <c r="BZ72" s="14">
        <f>BY72*VLOOKUP('Données projet'!$B$12,Paramètres!$A$1:$I$89,3,0)*VLOOKUP('Données projet'!$B$12,Paramètres!$A$1:$I$89,5,0)</f>
        <v>179.75879999999998</v>
      </c>
      <c r="CA72" s="14">
        <f t="shared" si="93"/>
        <v>45.268519423286527</v>
      </c>
      <c r="CB72" s="22">
        <f t="shared" si="64"/>
        <v>391.92258132889066</v>
      </c>
      <c r="CC72" s="60">
        <f t="shared" si="65"/>
        <v>685.25591466222397</v>
      </c>
      <c r="CD72" s="60">
        <f ca="1">AVERAGE(OFFSET($CC$3,0,0,'Données projet'!$E$12+1,1))-AVERAGE(OFFSET($H$3,0,0,'Données projet'!$E$12+1,1))</f>
        <v>380.16582491288449</v>
      </c>
      <c r="CE72" s="60">
        <f t="shared" si="94"/>
        <v>166.97658184507776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167</v>
      </c>
      <c r="CU72" s="18">
        <f>CT72*VLOOKUP('Données projet'!$B$13,Paramètres!$A$1:$I$89,3,0)*VLOOKUP('Données projet'!$B$13,Paramètres!$A$1:$I$89,5,0)</f>
        <v>161.5224</v>
      </c>
      <c r="CV72" s="14">
        <f t="shared" si="95"/>
        <v>41.185707490721896</v>
      </c>
      <c r="CW72" s="22">
        <f t="shared" si="67"/>
        <v>353.04995387967392</v>
      </c>
      <c r="CX72" s="60">
        <f t="shared" si="68"/>
        <v>646.38328721300718</v>
      </c>
      <c r="CY72" s="60">
        <f ca="1">AVERAGE(OFFSET($CX$3,0,0,'Données projet'!$E$13+1,1))-AVERAGE(OFFSET($H$3,0,0,'Données projet'!$E$13+1,1))</f>
        <v>345.71694170753534</v>
      </c>
      <c r="CZ72" s="60">
        <f t="shared" si="96"/>
        <v>154.08406475869634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0">
        <f t="shared" si="55"/>
        <v>768.54835911062366</v>
      </c>
      <c r="S73" s="60">
        <f ca="1">AVERAGE(OFFSET($R$3,0,0,'Données projet'!$E$9+1,1))-AVERAGE(OFFSET($H$3,0,0,'Données projet'!$E$9+1,1))</f>
        <v>430.21146937947236</v>
      </c>
      <c r="T73" s="60">
        <f t="shared" si="88"/>
        <v>231.36959598460686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208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207.99999999999997</v>
      </c>
      <c r="AJ73" s="14">
        <f>AI73*VLOOKUP('Données projet'!$B$10,Paramètres!$A$1:$I$89,3,0)*VLOOKUP('Données projet'!$B$10,Paramètres!$A$1:$I$89,5,0)</f>
        <v>197.93279999999999</v>
      </c>
      <c r="AK73" s="14">
        <f t="shared" si="89"/>
        <v>49.289585385002731</v>
      </c>
      <c r="AL73" s="22">
        <f t="shared" si="58"/>
        <v>430.57898787887979</v>
      </c>
      <c r="AM73" s="60">
        <f t="shared" si="59"/>
        <v>723.9123212122131</v>
      </c>
      <c r="AN73" s="60">
        <f ca="1">AVERAGE(OFFSET($AM$3,0,0,'Données projet'!$E$10+1,1))-AVERAGE(OFFSET($H$3,0,0,'Données projet'!$E$10+1,1))</f>
        <v>370.04285308422544</v>
      </c>
      <c r="AO73" s="60">
        <f t="shared" si="90"/>
        <v>218.53758068502731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-2.8421709430404007E-13</v>
      </c>
      <c r="BE73" s="14">
        <f>BD73*VLOOKUP('Données projet'!$B$11,Paramètres!$A$1:$I$89,3,0)*VLOOKUP('Données projet'!$B$11,Paramètres!$A$1:$I$89,5,0)</f>
        <v>-1.69961822393816E-13</v>
      </c>
      <c r="BF73" s="14" t="e">
        <f t="shared" si="91"/>
        <v>#NUM!</v>
      </c>
      <c r="BG73" s="22" t="e">
        <f t="shared" si="61"/>
        <v>#NUM!</v>
      </c>
      <c r="BH73" s="60" t="e">
        <f t="shared" si="62"/>
        <v>#NUM!</v>
      </c>
      <c r="BI73" s="60">
        <f ca="1">AVERAGE(OFFSET($BH$3,0,0,'Données projet'!$E$11+1,1))-AVERAGE(OFFSET($H$3,0,0,'Données projet'!$E$11+1,1))</f>
        <v>225.82185458224626</v>
      </c>
      <c r="BJ73" s="60">
        <f t="shared" si="92"/>
        <v>363.02009369315243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47.480104803603858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5.9705183771169646E-3</v>
      </c>
      <c r="BS73" s="24">
        <f t="shared" si="63"/>
        <v>47.486075321980977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172</v>
      </c>
      <c r="BW73" s="13">
        <f>VLOOKUP(A73,'Données projet'!$A$113:$I$133,9,0)</f>
        <v>5</v>
      </c>
      <c r="BX73" s="13">
        <f t="array" ref="BX73">INDEX(BW:BW,MIN(IF(ISNUMBER(BW73:BW269),ROW(BW73:BW269),"")))</f>
        <v>5</v>
      </c>
      <c r="BY73" s="13">
        <f>IF('Données projet'!$A$114&gt;35,BY72+BX73-CG72,IF(A73&lt;'Données projet'!$A$114,$BV$205^A73,IF(A73='Données projet'!$A$114,'Données projet'!$B$114,BY72+BX73-CG72)))</f>
        <v>172</v>
      </c>
      <c r="BZ73" s="14">
        <f>BY73*VLOOKUP('Données projet'!$B$12,Paramètres!$A$1:$I$89,3,0)*VLOOKUP('Données projet'!$B$12,Paramètres!$A$1:$I$89,5,0)</f>
        <v>185.14079999999998</v>
      </c>
      <c r="CA73" s="14">
        <f t="shared" si="93"/>
        <v>46.464038253813506</v>
      </c>
      <c r="CB73" s="22">
        <f t="shared" si="64"/>
        <v>403.3784266253918</v>
      </c>
      <c r="CC73" s="60">
        <f t="shared" si="65"/>
        <v>696.71175995872511</v>
      </c>
      <c r="CD73" s="60">
        <f ca="1">AVERAGE(OFFSET($CC$3,0,0,'Données projet'!$E$12+1,1))-AVERAGE(OFFSET($H$3,0,0,'Données projet'!$E$12+1,1))</f>
        <v>380.16582491288449</v>
      </c>
      <c r="CE73" s="60">
        <f t="shared" si="94"/>
        <v>166.97658184507776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172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172</v>
      </c>
      <c r="CU73" s="18">
        <f>CT73*VLOOKUP('Données projet'!$B$13,Paramètres!$A$1:$I$89,3,0)*VLOOKUP('Données projet'!$B$13,Paramètres!$A$1:$I$89,5,0)</f>
        <v>166.35840000000002</v>
      </c>
      <c r="CV73" s="14">
        <f t="shared" si="95"/>
        <v>42.27340131152765</v>
      </c>
      <c r="CW73" s="22">
        <f t="shared" si="67"/>
        <v>363.3670539509107</v>
      </c>
      <c r="CX73" s="60">
        <f t="shared" si="68"/>
        <v>656.70038728424402</v>
      </c>
      <c r="CY73" s="60">
        <f ca="1">AVERAGE(OFFSET($CX$3,0,0,'Données projet'!$E$13+1,1))-AVERAGE(OFFSET($H$3,0,0,'Données projet'!$E$13+1,1))</f>
        <v>345.71694170753534</v>
      </c>
      <c r="CZ73" s="60">
        <f t="shared" si="96"/>
        <v>154.08406475869634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0">
        <f t="shared" si="55"/>
        <v>780.44025597898974</v>
      </c>
      <c r="S74" s="60">
        <f ca="1">AVERAGE(OFFSET($R$3,0,0,'Données projet'!$E$9+1,1))-AVERAGE(OFFSET($H$3,0,0,'Données projet'!$E$9+1,1))</f>
        <v>430.21146937947236</v>
      </c>
      <c r="T74" s="60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212.79999999999998</v>
      </c>
      <c r="AJ74" s="14">
        <f>AI74*VLOOKUP('Données projet'!$B$10,Paramètres!$A$1:$I$89,3,0)*VLOOKUP('Données projet'!$B$10,Paramètres!$A$1:$I$89,5,0)</f>
        <v>202.50047999999998</v>
      </c>
      <c r="AK74" s="14">
        <f t="shared" si="89"/>
        <v>50.293299535837946</v>
      </c>
      <c r="AL74" s="22">
        <f t="shared" si="58"/>
        <v>440.28249935825102</v>
      </c>
      <c r="AM74" s="60">
        <f t="shared" si="59"/>
        <v>733.61583269158427</v>
      </c>
      <c r="AN74" s="60">
        <f ca="1">AVERAGE(OFFSET($AM$3,0,0,'Données projet'!$E$10+1,1))-AVERAGE(OFFSET($H$3,0,0,'Données projet'!$E$10+1,1))</f>
        <v>370.04285308422544</v>
      </c>
      <c r="AO74" s="60">
        <f t="shared" si="90"/>
        <v>218.53758068502731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-2.8421709430404007E-13</v>
      </c>
      <c r="BE74" s="14">
        <f>BD74*VLOOKUP('Données projet'!$B$11,Paramètres!$A$1:$I$89,3,0)*VLOOKUP('Données projet'!$B$11,Paramètres!$A$1:$I$89,5,0)</f>
        <v>-1.69961822393816E-13</v>
      </c>
      <c r="BF74" s="14" t="e">
        <f t="shared" si="91"/>
        <v>#NUM!</v>
      </c>
      <c r="BG74" s="22" t="e">
        <f t="shared" si="61"/>
        <v>#NUM!</v>
      </c>
      <c r="BH74" s="60" t="e">
        <f t="shared" si="62"/>
        <v>#NUM!</v>
      </c>
      <c r="BI74" s="60">
        <f ca="1">AVERAGE(OFFSET($BH$3,0,0,'Données projet'!$E$11+1,1))-AVERAGE(OFFSET($H$3,0,0,'Données projet'!$E$11+1,1))</f>
        <v>225.82185458224626</v>
      </c>
      <c r="BJ74" s="60">
        <f t="shared" si="92"/>
        <v>363.02009369315243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46.549048908409553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4.2217940316583063E-3</v>
      </c>
      <c r="BS74" s="24">
        <f t="shared" si="63"/>
        <v>46.55327070244121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</v>
      </c>
      <c r="BY74" s="13">
        <f>IF('Données projet'!$A$114&gt;35,BY73+BX74-CG73,IF(A74&lt;'Données projet'!$A$114,$BV$205^A74,IF(A74='Données projet'!$A$114,'Données projet'!$B$114,BY73+BX74-CG73)))</f>
        <v>177</v>
      </c>
      <c r="BZ74" s="14">
        <f>BY74*VLOOKUP('Données projet'!$B$12,Paramètres!$A$1:$I$89,3,0)*VLOOKUP('Données projet'!$B$12,Paramètres!$A$1:$I$89,5,0)</f>
        <v>190.52279999999999</v>
      </c>
      <c r="CA74" s="14">
        <f t="shared" si="93"/>
        <v>47.655518017541539</v>
      </c>
      <c r="CB74" s="22">
        <f t="shared" si="64"/>
        <v>414.82723721388487</v>
      </c>
      <c r="CC74" s="60">
        <f t="shared" si="65"/>
        <v>708.16057054721819</v>
      </c>
      <c r="CD74" s="60">
        <f ca="1">AVERAGE(OFFSET($CC$3,0,0,'Données projet'!$E$12+1,1))-AVERAGE(OFFSET($H$3,0,0,'Données projet'!$E$12+1,1))</f>
        <v>380.16582491288449</v>
      </c>
      <c r="CE74" s="60">
        <f t="shared" si="94"/>
        <v>166.97658184507776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</v>
      </c>
      <c r="CT74" s="13">
        <f>IF('Données projet'!$A$140&gt;35,CT73+CS74-DB73,IF(A74&lt;'Données projet'!$A$140,$CQ$205^A74,IF(A74='Données projet'!$A$140,'Données projet'!$B$140,CT73+CS74-DB73)))</f>
        <v>177</v>
      </c>
      <c r="CU74" s="18">
        <f>CT74*VLOOKUP('Données projet'!$B$13,Paramètres!$A$1:$I$89,3,0)*VLOOKUP('Données projet'!$B$13,Paramètres!$A$1:$I$89,5,0)</f>
        <v>171.1944</v>
      </c>
      <c r="CV74" s="14">
        <f t="shared" si="95"/>
        <v>43.35742035290977</v>
      </c>
      <c r="CW74" s="22">
        <f t="shared" si="67"/>
        <v>373.67775378131779</v>
      </c>
      <c r="CX74" s="60">
        <f t="shared" si="68"/>
        <v>667.0110871146511</v>
      </c>
      <c r="CY74" s="60">
        <f ca="1">AVERAGE(OFFSET($CX$3,0,0,'Données projet'!$E$13+1,1))-AVERAGE(OFFSET($H$3,0,0,'Données projet'!$E$13+1,1))</f>
        <v>345.71694170753534</v>
      </c>
      <c r="CZ74" s="60">
        <f t="shared" si="96"/>
        <v>154.08406475869634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0">
        <f t="shared" si="55"/>
        <v>792.32599235097587</v>
      </c>
      <c r="S75" s="60">
        <f ca="1">AVERAGE(OFFSET($R$3,0,0,'Données projet'!$E$9+1,1))-AVERAGE(OFFSET($H$3,0,0,'Données projet'!$E$9+1,1))</f>
        <v>430.21146937947236</v>
      </c>
      <c r="T75" s="60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217.6</v>
      </c>
      <c r="AJ75" s="14">
        <f>AI75*VLOOKUP('Données projet'!$B$10,Paramètres!$A$1:$I$89,3,0)*VLOOKUP('Données projet'!$B$10,Paramètres!$A$1:$I$89,5,0)</f>
        <v>207.06815999999998</v>
      </c>
      <c r="AK75" s="14">
        <f t="shared" si="89"/>
        <v>51.294381591685067</v>
      </c>
      <c r="AL75" s="22">
        <f t="shared" si="58"/>
        <v>449.98142660551815</v>
      </c>
      <c r="AM75" s="60">
        <f t="shared" si="59"/>
        <v>743.31475993885147</v>
      </c>
      <c r="AN75" s="60">
        <f ca="1">AVERAGE(OFFSET($AM$3,0,0,'Données projet'!$E$10+1,1))-AVERAGE(OFFSET($H$3,0,0,'Données projet'!$E$10+1,1))</f>
        <v>370.04285308422544</v>
      </c>
      <c r="AO75" s="60">
        <f t="shared" si="90"/>
        <v>218.53758068502731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-2.8421709430404007E-13</v>
      </c>
      <c r="BE75" s="14">
        <f>BD75*VLOOKUP('Données projet'!$B$11,Paramètres!$A$1:$I$89,3,0)*VLOOKUP('Données projet'!$B$11,Paramètres!$A$1:$I$89,5,0)</f>
        <v>-1.69961822393816E-13</v>
      </c>
      <c r="BF75" s="14" t="e">
        <f t="shared" si="91"/>
        <v>#NUM!</v>
      </c>
      <c r="BG75" s="22" t="e">
        <f t="shared" si="61"/>
        <v>#NUM!</v>
      </c>
      <c r="BH75" s="60" t="e">
        <f t="shared" si="62"/>
        <v>#NUM!</v>
      </c>
      <c r="BI75" s="60">
        <f ca="1">AVERAGE(OFFSET($BH$3,0,0,'Données projet'!$E$11+1,1))-AVERAGE(OFFSET($H$3,0,0,'Données projet'!$E$11+1,1))</f>
        <v>225.82185458224626</v>
      </c>
      <c r="BJ75" s="60">
        <f t="shared" si="92"/>
        <v>363.02009369315243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45.636250451431984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2.9852591885584823E-3</v>
      </c>
      <c r="BS75" s="24">
        <f t="shared" si="63"/>
        <v>45.63923571062054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</v>
      </c>
      <c r="BY75" s="13">
        <f>IF('Données projet'!$A$114&gt;35,BY74+BX75-CG74,IF(A75&lt;'Données projet'!$A$114,$BV$205^A75,IF(A75='Données projet'!$A$114,'Données projet'!$B$114,BY74+BX75-CG74)))</f>
        <v>182</v>
      </c>
      <c r="BZ75" s="14">
        <f>BY75*VLOOKUP('Données projet'!$B$12,Paramètres!$A$1:$I$89,3,0)*VLOOKUP('Données projet'!$B$12,Paramètres!$A$1:$I$89,5,0)</f>
        <v>195.90479999999999</v>
      </c>
      <c r="CA75" s="14">
        <f t="shared" si="93"/>
        <v>48.843085918490004</v>
      </c>
      <c r="CB75" s="22">
        <f t="shared" si="64"/>
        <v>426.26923464137008</v>
      </c>
      <c r="CC75" s="60">
        <f t="shared" si="65"/>
        <v>719.60256797470333</v>
      </c>
      <c r="CD75" s="60">
        <f ca="1">AVERAGE(OFFSET($CC$3,0,0,'Données projet'!$E$12+1,1))-AVERAGE(OFFSET($H$3,0,0,'Données projet'!$E$12+1,1))</f>
        <v>380.16582491288449</v>
      </c>
      <c r="CE75" s="60">
        <f t="shared" si="94"/>
        <v>166.97658184507776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</v>
      </c>
      <c r="CT75" s="13">
        <f>IF('Données projet'!$A$140&gt;35,CT74+CS75-DB74,IF(A75&lt;'Données projet'!$A$140,$CQ$205^A75,IF(A75='Données projet'!$A$140,'Données projet'!$B$140,CT74+CS75-DB74)))</f>
        <v>182</v>
      </c>
      <c r="CU75" s="18">
        <f>CT75*VLOOKUP('Données projet'!$B$13,Paramètres!$A$1:$I$89,3,0)*VLOOKUP('Données projet'!$B$13,Paramètres!$A$1:$I$89,5,0)</f>
        <v>176.03040000000001</v>
      </c>
      <c r="CV75" s="14">
        <f t="shared" si="95"/>
        <v>44.437880346232944</v>
      </c>
      <c r="CW75" s="22">
        <f t="shared" si="67"/>
        <v>383.98225493635573</v>
      </c>
      <c r="CX75" s="60">
        <f t="shared" si="68"/>
        <v>677.31558826968899</v>
      </c>
      <c r="CY75" s="60">
        <f ca="1">AVERAGE(OFFSET($CX$3,0,0,'Données projet'!$E$13+1,1))-AVERAGE(OFFSET($H$3,0,0,'Données projet'!$E$13+1,1))</f>
        <v>345.71694170753534</v>
      </c>
      <c r="CZ75" s="60">
        <f t="shared" si="96"/>
        <v>154.08406475869634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0">
        <f t="shared" si="55"/>
        <v>804.20573563651237</v>
      </c>
      <c r="S76" s="60">
        <f ca="1">AVERAGE(OFFSET($R$3,0,0,'Données projet'!$E$9+1,1))-AVERAGE(OFFSET($H$3,0,0,'Données projet'!$E$9+1,1))</f>
        <v>430.21146937947236</v>
      </c>
      <c r="T76" s="60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222.4</v>
      </c>
      <c r="AJ76" s="14">
        <f>AI76*VLOOKUP('Données projet'!$B$10,Paramètres!$A$1:$I$89,3,0)*VLOOKUP('Données projet'!$B$10,Paramètres!$A$1:$I$89,5,0)</f>
        <v>211.63583999999997</v>
      </c>
      <c r="AK76" s="14">
        <f t="shared" si="89"/>
        <v>52.292896299216586</v>
      </c>
      <c r="AL76" s="22">
        <f t="shared" si="58"/>
        <v>459.67588238780218</v>
      </c>
      <c r="AM76" s="60">
        <f t="shared" si="59"/>
        <v>753.00921572113543</v>
      </c>
      <c r="AN76" s="60">
        <f ca="1">AVERAGE(OFFSET($AM$3,0,0,'Données projet'!$E$10+1,1))-AVERAGE(OFFSET($H$3,0,0,'Données projet'!$E$10+1,1))</f>
        <v>370.04285308422544</v>
      </c>
      <c r="AO76" s="60">
        <f t="shared" si="90"/>
        <v>218.53758068502731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-2.8421709430404007E-13</v>
      </c>
      <c r="BE76" s="14">
        <f>BD76*VLOOKUP('Données projet'!$B$11,Paramètres!$A$1:$I$89,3,0)*VLOOKUP('Données projet'!$B$11,Paramètres!$A$1:$I$89,5,0)</f>
        <v>-1.69961822393816E-13</v>
      </c>
      <c r="BF76" s="14" t="e">
        <f t="shared" si="91"/>
        <v>#NUM!</v>
      </c>
      <c r="BG76" s="22" t="e">
        <f t="shared" si="61"/>
        <v>#NUM!</v>
      </c>
      <c r="BH76" s="60" t="e">
        <f t="shared" si="62"/>
        <v>#NUM!</v>
      </c>
      <c r="BI76" s="60">
        <f ca="1">AVERAGE(OFFSET($BH$3,0,0,'Données projet'!$E$11+1,1))-AVERAGE(OFFSET($H$3,0,0,'Données projet'!$E$11+1,1))</f>
        <v>225.82185458224626</v>
      </c>
      <c r="BJ76" s="60">
        <f t="shared" si="92"/>
        <v>363.02009369315243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44.741351415443667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2.1108970158291531E-3</v>
      </c>
      <c r="BS76" s="24">
        <f t="shared" si="63"/>
        <v>44.743462312459499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</v>
      </c>
      <c r="BY76" s="13">
        <f>IF('Données projet'!$A$114&gt;35,BY75+BX76-CG75,IF(A76&lt;'Données projet'!$A$114,$BV$205^A76,IF(A76='Données projet'!$A$114,'Données projet'!$B$114,BY75+BX76-CG75)))</f>
        <v>187</v>
      </c>
      <c r="BZ76" s="14">
        <f>BY76*VLOOKUP('Données projet'!$B$12,Paramètres!$A$1:$I$89,3,0)*VLOOKUP('Données projet'!$B$12,Paramètres!$A$1:$I$89,5,0)</f>
        <v>201.2868</v>
      </c>
      <c r="CA76" s="14">
        <f t="shared" si="93"/>
        <v>50.026861773677616</v>
      </c>
      <c r="CB76" s="22">
        <f t="shared" si="64"/>
        <v>437.70462758915511</v>
      </c>
      <c r="CC76" s="60">
        <f t="shared" si="65"/>
        <v>731.03796092248842</v>
      </c>
      <c r="CD76" s="60">
        <f ca="1">AVERAGE(OFFSET($CC$3,0,0,'Données projet'!$E$12+1,1))-AVERAGE(OFFSET($H$3,0,0,'Données projet'!$E$12+1,1))</f>
        <v>380.16582491288449</v>
      </c>
      <c r="CE76" s="60">
        <f t="shared" si="94"/>
        <v>166.97658184507776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</v>
      </c>
      <c r="CT76" s="13">
        <f>IF('Données projet'!$A$140&gt;35,CT75+CS76-DB75,IF(A76&lt;'Données projet'!$A$140,$CQ$205^A76,IF(A76='Données projet'!$A$140,'Données projet'!$B$140,CT75+CS76-DB75)))</f>
        <v>187</v>
      </c>
      <c r="CU76" s="18">
        <f>CT76*VLOOKUP('Données projet'!$B$13,Paramètres!$A$1:$I$89,3,0)*VLOOKUP('Données projet'!$B$13,Paramètres!$A$1:$I$89,5,0)</f>
        <v>180.8664</v>
      </c>
      <c r="CV76" s="14">
        <f t="shared" si="95"/>
        <v>45.514890302102152</v>
      </c>
      <c r="CW76" s="22">
        <f t="shared" si="67"/>
        <v>394.28074727616121</v>
      </c>
      <c r="CX76" s="60">
        <f t="shared" si="68"/>
        <v>687.61408060949452</v>
      </c>
      <c r="CY76" s="60">
        <f ca="1">AVERAGE(OFFSET($CX$3,0,0,'Données projet'!$E$13+1,1))-AVERAGE(OFFSET($H$3,0,0,'Données projet'!$E$13+1,1))</f>
        <v>345.71694170753534</v>
      </c>
      <c r="CZ76" s="60">
        <f t="shared" si="96"/>
        <v>154.08406475869634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0">
        <f t="shared" si="55"/>
        <v>816.07964482540729</v>
      </c>
      <c r="S77" s="60">
        <f ca="1">AVERAGE(OFFSET($R$3,0,0,'Données projet'!$E$9+1,1))-AVERAGE(OFFSET($H$3,0,0,'Données projet'!$E$9+1,1))</f>
        <v>430.21146937947236</v>
      </c>
      <c r="T77" s="60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227.20000000000002</v>
      </c>
      <c r="AJ77" s="14">
        <f>AI77*VLOOKUP('Données projet'!$B$10,Paramètres!$A$1:$I$89,3,0)*VLOOKUP('Données projet'!$B$10,Paramètres!$A$1:$I$89,5,0)</f>
        <v>216.20352000000003</v>
      </c>
      <c r="AK77" s="14">
        <f t="shared" si="89"/>
        <v>53.288905450648656</v>
      </c>
      <c r="AL77" s="22">
        <f t="shared" si="58"/>
        <v>469.36597432654645</v>
      </c>
      <c r="AM77" s="60">
        <f t="shared" si="59"/>
        <v>762.69930765987976</v>
      </c>
      <c r="AN77" s="60">
        <f ca="1">AVERAGE(OFFSET($AM$3,0,0,'Données projet'!$E$10+1,1))-AVERAGE(OFFSET($H$3,0,0,'Données projet'!$E$10+1,1))</f>
        <v>370.04285308422544</v>
      </c>
      <c r="AO77" s="60">
        <f t="shared" si="90"/>
        <v>218.53758068502731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-2.8421709430404007E-13</v>
      </c>
      <c r="BE77" s="14">
        <f>BD77*VLOOKUP('Données projet'!$B$11,Paramètres!$A$1:$I$89,3,0)*VLOOKUP('Données projet'!$B$11,Paramètres!$A$1:$I$89,5,0)</f>
        <v>-1.69961822393816E-13</v>
      </c>
      <c r="BF77" s="14" t="e">
        <f t="shared" si="91"/>
        <v>#NUM!</v>
      </c>
      <c r="BG77" s="22" t="e">
        <f t="shared" si="61"/>
        <v>#NUM!</v>
      </c>
      <c r="BH77" s="60" t="e">
        <f t="shared" si="62"/>
        <v>#NUM!</v>
      </c>
      <c r="BI77" s="60">
        <f ca="1">AVERAGE(OFFSET($BH$3,0,0,'Données projet'!$E$11+1,1))-AVERAGE(OFFSET($H$3,0,0,'Données projet'!$E$11+1,1))</f>
        <v>225.82185458224626</v>
      </c>
      <c r="BJ77" s="60">
        <f t="shared" si="92"/>
        <v>363.02009369315243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43.864000803716564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1.4926295942792411E-3</v>
      </c>
      <c r="BS77" s="24">
        <f t="shared" si="63"/>
        <v>43.865493433310846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</v>
      </c>
      <c r="BY77" s="13">
        <f>IF('Données projet'!$A$114&gt;35,BY76+BX77-CG76,IF(A77&lt;'Données projet'!$A$114,$BV$205^A77,IF(A77='Données projet'!$A$114,'Données projet'!$B$114,BY76+BX77-CG76)))</f>
        <v>192</v>
      </c>
      <c r="BZ77" s="14">
        <f>BY77*VLOOKUP('Données projet'!$B$12,Paramètres!$A$1:$I$89,3,0)*VLOOKUP('Données projet'!$B$12,Paramètres!$A$1:$I$89,5,0)</f>
        <v>206.6688</v>
      </c>
      <c r="CA77" s="14">
        <f t="shared" si="93"/>
        <v>51.206958627992755</v>
      </c>
      <c r="CB77" s="22">
        <f t="shared" si="64"/>
        <v>449.13361294375403</v>
      </c>
      <c r="CC77" s="60">
        <f t="shared" si="65"/>
        <v>742.46694627708735</v>
      </c>
      <c r="CD77" s="60">
        <f ca="1">AVERAGE(OFFSET($CC$3,0,0,'Données projet'!$E$12+1,1))-AVERAGE(OFFSET($H$3,0,0,'Données projet'!$E$12+1,1))</f>
        <v>380.16582491288449</v>
      </c>
      <c r="CE77" s="60">
        <f t="shared" si="94"/>
        <v>166.97658184507776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</v>
      </c>
      <c r="CT77" s="13">
        <f>IF('Données projet'!$A$140&gt;35,CT76+CS77-DB76,IF(A77&lt;'Données projet'!$A$140,$CQ$205^A77,IF(A77='Données projet'!$A$140,'Données projet'!$B$140,CT76+CS77-DB76)))</f>
        <v>192</v>
      </c>
      <c r="CU77" s="18">
        <f>CT77*VLOOKUP('Données projet'!$B$13,Paramètres!$A$1:$I$89,3,0)*VLOOKUP('Données projet'!$B$13,Paramètres!$A$1:$I$89,5,0)</f>
        <v>185.70239999999998</v>
      </c>
      <c r="CV77" s="14">
        <f t="shared" si="95"/>
        <v>46.588553069776829</v>
      </c>
      <c r="CW77" s="22">
        <f t="shared" si="67"/>
        <v>404.57340992986127</v>
      </c>
      <c r="CX77" s="60">
        <f t="shared" si="68"/>
        <v>697.90674326319458</v>
      </c>
      <c r="CY77" s="60">
        <f ca="1">AVERAGE(OFFSET($CX$3,0,0,'Données projet'!$E$13+1,1))-AVERAGE(OFFSET($H$3,0,0,'Données projet'!$E$13+1,1))</f>
        <v>345.71694170753534</v>
      </c>
      <c r="CZ77" s="60">
        <f t="shared" si="96"/>
        <v>154.08406475869634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0">
        <f t="shared" si="55"/>
        <v>827.94787109652862</v>
      </c>
      <c r="S78" s="60">
        <f ca="1">AVERAGE(OFFSET($R$3,0,0,'Données projet'!$E$9+1,1))-AVERAGE(OFFSET($H$3,0,0,'Données projet'!$E$9+1,1))</f>
        <v>430.21146937947236</v>
      </c>
      <c r="T78" s="60">
        <f t="shared" si="88"/>
        <v>231.36959598460686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232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232.00000000000003</v>
      </c>
      <c r="AJ78" s="14">
        <f>AI78*VLOOKUP('Données projet'!$B$10,Paramètres!$A$1:$I$89,3,0)*VLOOKUP('Données projet'!$B$10,Paramètres!$A$1:$I$89,5,0)</f>
        <v>220.77120000000002</v>
      </c>
      <c r="AK78" s="14">
        <f t="shared" si="89"/>
        <v>54.28246807807983</v>
      </c>
      <c r="AL78" s="22">
        <f t="shared" si="58"/>
        <v>479.05180523598898</v>
      </c>
      <c r="AM78" s="60">
        <f t="shared" si="59"/>
        <v>772.38513856932229</v>
      </c>
      <c r="AN78" s="60">
        <f ca="1">AVERAGE(OFFSET($AM$3,0,0,'Données projet'!$E$10+1,1))-AVERAGE(OFFSET($H$3,0,0,'Données projet'!$E$10+1,1))</f>
        <v>370.04285308422544</v>
      </c>
      <c r="AO78" s="60">
        <f t="shared" si="90"/>
        <v>218.53758068502731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-2.8421709430404007E-13</v>
      </c>
      <c r="BE78" s="14">
        <f>BD78*VLOOKUP('Données projet'!$B$11,Paramètres!$A$1:$I$89,3,0)*VLOOKUP('Données projet'!$B$11,Paramètres!$A$1:$I$89,5,0)</f>
        <v>-1.69961822393816E-13</v>
      </c>
      <c r="BF78" s="14" t="e">
        <f t="shared" si="91"/>
        <v>#NUM!</v>
      </c>
      <c r="BG78" s="22" t="e">
        <f t="shared" si="61"/>
        <v>#NUM!</v>
      </c>
      <c r="BH78" s="60" t="e">
        <f t="shared" si="62"/>
        <v>#NUM!</v>
      </c>
      <c r="BI78" s="60">
        <f ca="1">AVERAGE(OFFSET($BH$3,0,0,'Données projet'!$E$11+1,1))-AVERAGE(OFFSET($H$3,0,0,'Données projet'!$E$11+1,1))</f>
        <v>225.82185458224626</v>
      </c>
      <c r="BJ78" s="60">
        <f t="shared" si="92"/>
        <v>363.02009369315243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43.003854502354393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1.0554485079145766E-3</v>
      </c>
      <c r="BS78" s="24">
        <f t="shared" si="63"/>
        <v>43.004909950862306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197</v>
      </c>
      <c r="BW78" s="13">
        <f>VLOOKUP(A78,'Données projet'!$A$113:$I$133,9,0)</f>
        <v>5</v>
      </c>
      <c r="BX78" s="13">
        <f t="array" ref="BX78">INDEX(BW:BW,MIN(IF(ISNUMBER(BW78:BW274),ROW(BW78:BW274),"")))</f>
        <v>5</v>
      </c>
      <c r="BY78" s="13">
        <f>IF('Données projet'!$A$114&gt;35,BY77+BX78-CG77,IF(A78&lt;'Données projet'!$A$114,$BV$205^A78,IF(A78='Données projet'!$A$114,'Données projet'!$B$114,BY77+BX78-CG77)))</f>
        <v>197</v>
      </c>
      <c r="BZ78" s="14">
        <f>BY78*VLOOKUP('Données projet'!$B$12,Paramètres!$A$1:$I$89,3,0)*VLOOKUP('Données projet'!$B$12,Paramètres!$A$1:$I$89,5,0)</f>
        <v>212.05079999999998</v>
      </c>
      <c r="CA78" s="14">
        <f t="shared" si="93"/>
        <v>52.383483303212302</v>
      </c>
      <c r="CB78" s="22">
        <f t="shared" si="64"/>
        <v>460.55637675309475</v>
      </c>
      <c r="CC78" s="60">
        <f t="shared" si="65"/>
        <v>753.88971008642807</v>
      </c>
      <c r="CD78" s="60">
        <f ca="1">AVERAGE(OFFSET($CC$3,0,0,'Données projet'!$E$12+1,1))-AVERAGE(OFFSET($H$3,0,0,'Données projet'!$E$12+1,1))</f>
        <v>380.16582491288449</v>
      </c>
      <c r="CE78" s="60">
        <f t="shared" si="94"/>
        <v>166.97658184507776</v>
      </c>
      <c r="CF78" s="16">
        <f>IF(ISNA(VLOOKUP(A78,'Données projet'!$A$113:$I$133,3,0)),0,VLOOKUP(A78,'Données projet'!$A$113:$I$133,3,0))</f>
        <v>5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197</v>
      </c>
      <c r="CR78" s="13">
        <f>VLOOKUP(A78,'Données projet'!$A$139:$I$159,9,0)</f>
        <v>5</v>
      </c>
      <c r="CS78" s="13">
        <f t="array" ref="CS78">INDEX(CR:CR,MIN(IF(ISNUMBER(CR78:CR274),ROW(CR78:CR274),"")))</f>
        <v>5</v>
      </c>
      <c r="CT78" s="13">
        <f>IF('Données projet'!$A$140&gt;35,CT77+CS78-DB77,IF(A78&lt;'Données projet'!$A$140,$CQ$205^A78,IF(A78='Données projet'!$A$140,'Données projet'!$B$140,CT77+CS78-DB77)))</f>
        <v>197</v>
      </c>
      <c r="CU78" s="18">
        <f>CT78*VLOOKUP('Données projet'!$B$13,Paramètres!$A$1:$I$89,3,0)*VLOOKUP('Données projet'!$B$13,Paramètres!$A$1:$I$89,5,0)</f>
        <v>190.5384</v>
      </c>
      <c r="CV78" s="14">
        <f t="shared" si="95"/>
        <v>47.658965836673829</v>
      </c>
      <c r="CW78" s="22">
        <f t="shared" si="67"/>
        <v>414.86041216554025</v>
      </c>
      <c r="CX78" s="60">
        <f t="shared" si="68"/>
        <v>708.19374549887357</v>
      </c>
      <c r="CY78" s="60">
        <f ca="1">AVERAGE(OFFSET($CX$3,0,0,'Données projet'!$E$13+1,1))-AVERAGE(OFFSET($H$3,0,0,'Données projet'!$E$13+1,1))</f>
        <v>345.71694170753534</v>
      </c>
      <c r="CZ78" s="60">
        <f t="shared" si="96"/>
        <v>154.08406475869634</v>
      </c>
      <c r="DA78" s="16">
        <f>IF(ISNA(VLOOKUP(A78,'Données projet'!$A$139:$I$159,3,0)),0,VLOOKUP(A78,'Données projet'!$A$139:$I$159,3,0))</f>
        <v>5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214.34711999999985</v>
      </c>
      <c r="P79" s="14">
        <f t="shared" si="87"/>
        <v>52.884405030781778</v>
      </c>
      <c r="Q79" s="22">
        <f t="shared" si="54"/>
        <v>465.42823942861133</v>
      </c>
      <c r="R79" s="60">
        <f t="shared" si="55"/>
        <v>758.76157276194465</v>
      </c>
      <c r="S79" s="60">
        <f ca="1">AVERAGE(OFFSET($R$3,0,0,'Données projet'!$E$9+1,1))-AVERAGE(OFFSET($H$3,0,0,'Données projet'!$E$9+1,1))</f>
        <v>430.21146937947236</v>
      </c>
      <c r="T79" s="60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4.4000000000000004</v>
      </c>
      <c r="AI79" s="14">
        <f>IF('Données projet'!$A$62&gt;35,AI78+AH79-AQ78,IF(A79&lt;'Données projet'!$A$62,$AF$205^A79,IF(A79='Données projet'!$A$62,'Données projet'!$B$62,AI78+AH79-AQ78)))</f>
        <v>208.40000000000003</v>
      </c>
      <c r="AJ79" s="14">
        <f>AI79*VLOOKUP('Données projet'!$B$10,Paramètres!$A$1:$I$89,3,0)*VLOOKUP('Données projet'!$B$10,Paramètres!$A$1:$I$89,5,0)</f>
        <v>198.31344000000004</v>
      </c>
      <c r="AK79" s="14">
        <f t="shared" si="89"/>
        <v>49.373330397745256</v>
      </c>
      <c r="AL79" s="22">
        <f t="shared" si="58"/>
        <v>431.38779177607307</v>
      </c>
      <c r="AM79" s="60">
        <f t="shared" si="59"/>
        <v>724.72112510940633</v>
      </c>
      <c r="AN79" s="60">
        <f ca="1">AVERAGE(OFFSET($AM$3,0,0,'Données projet'!$E$10+1,1))-AVERAGE(OFFSET($H$3,0,0,'Données projet'!$E$10+1,1))</f>
        <v>370.04285308422544</v>
      </c>
      <c r="AO79" s="60">
        <f t="shared" si="90"/>
        <v>218.53758068502731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-2.8421709430404007E-13</v>
      </c>
      <c r="BE79" s="14">
        <f>BD79*VLOOKUP('Données projet'!$B$11,Paramètres!$A$1:$I$89,3,0)*VLOOKUP('Données projet'!$B$11,Paramètres!$A$1:$I$89,5,0)</f>
        <v>-1.69961822393816E-13</v>
      </c>
      <c r="BF79" s="14" t="e">
        <f t="shared" si="91"/>
        <v>#NUM!</v>
      </c>
      <c r="BG79" s="22" t="e">
        <f t="shared" si="61"/>
        <v>#NUM!</v>
      </c>
      <c r="BH79" s="60" t="e">
        <f t="shared" si="62"/>
        <v>#NUM!</v>
      </c>
      <c r="BI79" s="60">
        <f ca="1">AVERAGE(OFFSET($BH$3,0,0,'Données projet'!$E$11+1,1))-AVERAGE(OFFSET($H$3,0,0,'Données projet'!$E$11+1,1))</f>
        <v>225.82185458224626</v>
      </c>
      <c r="BJ79" s="60">
        <f t="shared" si="92"/>
        <v>363.02009369315243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42.160575145324493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7.4631479713962057E-4</v>
      </c>
      <c r="BS79" s="24">
        <f t="shared" si="63"/>
        <v>42.161321460121634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173.6</v>
      </c>
      <c r="BZ79" s="14">
        <f>BY79*VLOOKUP('Données projet'!$B$12,Paramètres!$A$1:$I$89,3,0)*VLOOKUP('Données projet'!$B$12,Paramètres!$A$1:$I$89,5,0)</f>
        <v>186.86303999999998</v>
      </c>
      <c r="CA79" s="14">
        <f t="shared" si="93"/>
        <v>46.845744983534466</v>
      </c>
      <c r="CB79" s="22">
        <f t="shared" si="64"/>
        <v>407.04280051298912</v>
      </c>
      <c r="CC79" s="60">
        <f t="shared" si="65"/>
        <v>700.37613384632243</v>
      </c>
      <c r="CD79" s="60">
        <f ca="1">AVERAGE(OFFSET($CC$3,0,0,'Données projet'!$E$12+1,1))-AVERAGE(OFFSET($H$3,0,0,'Données projet'!$E$12+1,1))</f>
        <v>380.16582491288449</v>
      </c>
      <c r="CE79" s="60">
        <f t="shared" si="94"/>
        <v>166.97658184507776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173.6</v>
      </c>
      <c r="CU79" s="18">
        <f>CT79*VLOOKUP('Données projet'!$B$13,Paramètres!$A$1:$I$89,3,0)*VLOOKUP('Données projet'!$B$13,Paramètres!$A$1:$I$89,5,0)</f>
        <v>167.90591999999998</v>
      </c>
      <c r="CV79" s="14">
        <f t="shared" si="95"/>
        <v>42.620681538886721</v>
      </c>
      <c r="CW79" s="22">
        <f t="shared" si="67"/>
        <v>366.66716434689437</v>
      </c>
      <c r="CX79" s="60">
        <f t="shared" si="68"/>
        <v>660.00049768022768</v>
      </c>
      <c r="CY79" s="60">
        <f ca="1">AVERAGE(OFFSET($CX$3,0,0,'Données projet'!$E$13+1,1))-AVERAGE(OFFSET($H$3,0,0,'Données projet'!$E$13+1,1))</f>
        <v>345.71694170753534</v>
      </c>
      <c r="CZ79" s="60">
        <f t="shared" si="96"/>
        <v>154.08406475869634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219.68543999999989</v>
      </c>
      <c r="P80" s="14">
        <f t="shared" si="87"/>
        <v>54.046511966469559</v>
      </c>
      <c r="Q80" s="22">
        <f t="shared" si="54"/>
        <v>476.74981634160099</v>
      </c>
      <c r="R80" s="60">
        <f t="shared" si="55"/>
        <v>770.08314967493425</v>
      </c>
      <c r="S80" s="60">
        <f ca="1">AVERAGE(OFFSET($R$3,0,0,'Données projet'!$E$9+1,1))-AVERAGE(OFFSET($H$3,0,0,'Données projet'!$E$9+1,1))</f>
        <v>430.21146937947236</v>
      </c>
      <c r="T80" s="60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4.4000000000000004</v>
      </c>
      <c r="AI80" s="14">
        <f>IF('Données projet'!$A$62&gt;35,AI79+AH80-AQ79,IF(A80&lt;'Données projet'!$A$62,$AF$205^A80,IF(A80='Données projet'!$A$62,'Données projet'!$B$62,AI79+AH80-AQ79)))</f>
        <v>212.80000000000004</v>
      </c>
      <c r="AJ80" s="14">
        <f>AI80*VLOOKUP('Données projet'!$B$10,Paramètres!$A$1:$I$89,3,0)*VLOOKUP('Données projet'!$B$10,Paramètres!$A$1:$I$89,5,0)</f>
        <v>202.50048000000004</v>
      </c>
      <c r="AK80" s="14">
        <f t="shared" si="89"/>
        <v>50.293299535837946</v>
      </c>
      <c r="AL80" s="22">
        <f t="shared" si="58"/>
        <v>440.28249935825107</v>
      </c>
      <c r="AM80" s="60">
        <f t="shared" si="59"/>
        <v>733.61583269158439</v>
      </c>
      <c r="AN80" s="60">
        <f ca="1">AVERAGE(OFFSET($AM$3,0,0,'Données projet'!$E$10+1,1))-AVERAGE(OFFSET($H$3,0,0,'Données projet'!$E$10+1,1))</f>
        <v>370.04285308422544</v>
      </c>
      <c r="AO80" s="60">
        <f t="shared" si="90"/>
        <v>218.53758068502731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-2.8421709430404007E-13</v>
      </c>
      <c r="BE80" s="14">
        <f>BD80*VLOOKUP('Données projet'!$B$11,Paramètres!$A$1:$I$89,3,0)*VLOOKUP('Données projet'!$B$11,Paramètres!$A$1:$I$89,5,0)</f>
        <v>-1.69961822393816E-13</v>
      </c>
      <c r="BF80" s="14" t="e">
        <f t="shared" si="91"/>
        <v>#NUM!</v>
      </c>
      <c r="BG80" s="22" t="e">
        <f t="shared" si="61"/>
        <v>#NUM!</v>
      </c>
      <c r="BH80" s="60" t="e">
        <f t="shared" si="62"/>
        <v>#NUM!</v>
      </c>
      <c r="BI80" s="60">
        <f ca="1">AVERAGE(OFFSET($BH$3,0,0,'Données projet'!$E$11+1,1))-AVERAGE(OFFSET($H$3,0,0,'Données projet'!$E$11+1,1))</f>
        <v>225.82185458224626</v>
      </c>
      <c r="BJ80" s="60">
        <f t="shared" si="92"/>
        <v>363.02009369315243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41.333831982136331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5.2772425395728828E-4</v>
      </c>
      <c r="BS80" s="24">
        <f t="shared" si="63"/>
        <v>41.334359706390288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178.2</v>
      </c>
      <c r="BZ80" s="14">
        <f>BY80*VLOOKUP('Données projet'!$B$12,Paramètres!$A$1:$I$89,3,0)*VLOOKUP('Données projet'!$B$12,Paramètres!$A$1:$I$89,5,0)</f>
        <v>191.81447999999997</v>
      </c>
      <c r="CA80" s="14">
        <f t="shared" si="93"/>
        <v>47.940886441320977</v>
      </c>
      <c r="CB80" s="22">
        <f t="shared" si="64"/>
        <v>417.57392988530063</v>
      </c>
      <c r="CC80" s="60">
        <f t="shared" si="65"/>
        <v>710.90726321863394</v>
      </c>
      <c r="CD80" s="60">
        <f ca="1">AVERAGE(OFFSET($CC$3,0,0,'Données projet'!$E$12+1,1))-AVERAGE(OFFSET($H$3,0,0,'Données projet'!$E$12+1,1))</f>
        <v>380.16582491288449</v>
      </c>
      <c r="CE80" s="60">
        <f t="shared" si="94"/>
        <v>166.97658184507776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178.2</v>
      </c>
      <c r="CU80" s="18">
        <f>CT80*VLOOKUP('Données projet'!$B$13,Paramètres!$A$1:$I$89,3,0)*VLOOKUP('Données projet'!$B$13,Paramètres!$A$1:$I$89,5,0)</f>
        <v>172.35504</v>
      </c>
      <c r="CV80" s="14">
        <f t="shared" si="95"/>
        <v>43.617051120131691</v>
      </c>
      <c r="CW80" s="22">
        <f t="shared" si="67"/>
        <v>376.15139203422933</v>
      </c>
      <c r="CX80" s="60">
        <f t="shared" si="68"/>
        <v>669.48472536756265</v>
      </c>
      <c r="CY80" s="60">
        <f ca="1">AVERAGE(OFFSET($CX$3,0,0,'Données projet'!$E$13+1,1))-AVERAGE(OFFSET($H$3,0,0,'Données projet'!$E$13+1,1))</f>
        <v>345.71694170753534</v>
      </c>
      <c r="CZ80" s="60">
        <f t="shared" si="96"/>
        <v>154.08406475869634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225.0237599999999</v>
      </c>
      <c r="P81" s="14">
        <f t="shared" si="87"/>
        <v>55.205336184590408</v>
      </c>
      <c r="Q81" s="22">
        <f t="shared" si="54"/>
        <v>488.06567585482804</v>
      </c>
      <c r="R81" s="60">
        <f t="shared" si="55"/>
        <v>781.39900918816136</v>
      </c>
      <c r="S81" s="60">
        <f ca="1">AVERAGE(OFFSET($R$3,0,0,'Données projet'!$E$9+1,1))-AVERAGE(OFFSET($H$3,0,0,'Données projet'!$E$9+1,1))</f>
        <v>430.21146937947236</v>
      </c>
      <c r="T81" s="60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4.4000000000000004</v>
      </c>
      <c r="AI81" s="14">
        <f>IF('Données projet'!$A$62&gt;35,AI80+AH81-AQ80,IF(A81&lt;'Données projet'!$A$62,$AF$205^A81,IF(A81='Données projet'!$A$62,'Données projet'!$B$62,AI80+AH81-AQ80)))</f>
        <v>217.20000000000005</v>
      </c>
      <c r="AJ81" s="14">
        <f>AI81*VLOOKUP('Données projet'!$B$10,Paramètres!$A$1:$I$89,3,0)*VLOOKUP('Données projet'!$B$10,Paramètres!$A$1:$I$89,5,0)</f>
        <v>206.68752000000003</v>
      </c>
      <c r="AK81" s="14">
        <f t="shared" si="89"/>
        <v>51.211057018402521</v>
      </c>
      <c r="AL81" s="22">
        <f t="shared" si="58"/>
        <v>449.17335497371772</v>
      </c>
      <c r="AM81" s="60">
        <f t="shared" si="59"/>
        <v>742.50668830705104</v>
      </c>
      <c r="AN81" s="60">
        <f ca="1">AVERAGE(OFFSET($AM$3,0,0,'Données projet'!$E$10+1,1))-AVERAGE(OFFSET($H$3,0,0,'Données projet'!$E$10+1,1))</f>
        <v>370.04285308422544</v>
      </c>
      <c r="AO81" s="60">
        <f t="shared" si="90"/>
        <v>218.53758068502731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-2.8421709430404007E-13</v>
      </c>
      <c r="BE81" s="14">
        <f>BD81*VLOOKUP('Données projet'!$B$11,Paramètres!$A$1:$I$89,3,0)*VLOOKUP('Données projet'!$B$11,Paramètres!$A$1:$I$89,5,0)</f>
        <v>-1.69961822393816E-13</v>
      </c>
      <c r="BF81" s="14" t="e">
        <f t="shared" si="91"/>
        <v>#NUM!</v>
      </c>
      <c r="BG81" s="22" t="e">
        <f t="shared" si="61"/>
        <v>#NUM!</v>
      </c>
      <c r="BH81" s="60" t="e">
        <f t="shared" si="62"/>
        <v>#NUM!</v>
      </c>
      <c r="BI81" s="60">
        <f ca="1">AVERAGE(OFFSET($BH$3,0,0,'Données projet'!$E$11+1,1))-AVERAGE(OFFSET($H$3,0,0,'Données projet'!$E$11+1,1))</f>
        <v>225.82185458224626</v>
      </c>
      <c r="BJ81" s="60">
        <f t="shared" si="92"/>
        <v>363.02009369315243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40.52330074811475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3.7315739856981029E-4</v>
      </c>
      <c r="BS81" s="24">
        <f t="shared" si="63"/>
        <v>40.52367390551332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182.79999999999998</v>
      </c>
      <c r="BZ81" s="14">
        <f>BY81*VLOOKUP('Données projet'!$B$12,Paramètres!$A$1:$I$89,3,0)*VLOOKUP('Données projet'!$B$12,Paramètres!$A$1:$I$89,5,0)</f>
        <v>196.76591999999997</v>
      </c>
      <c r="CA81" s="14">
        <f t="shared" si="93"/>
        <v>49.03274186547759</v>
      </c>
      <c r="CB81" s="22">
        <f t="shared" si="64"/>
        <v>428.09933608237338</v>
      </c>
      <c r="CC81" s="60">
        <f t="shared" si="65"/>
        <v>721.43266941570664</v>
      </c>
      <c r="CD81" s="60">
        <f ca="1">AVERAGE(OFFSET($CC$3,0,0,'Données projet'!$E$12+1,1))-AVERAGE(OFFSET($H$3,0,0,'Données projet'!$E$12+1,1))</f>
        <v>380.16582491288449</v>
      </c>
      <c r="CE81" s="60">
        <f t="shared" si="94"/>
        <v>166.97658184507776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182.79999999999998</v>
      </c>
      <c r="CU81" s="18">
        <f>CT81*VLOOKUP('Données projet'!$B$13,Paramètres!$A$1:$I$89,3,0)*VLOOKUP('Données projet'!$B$13,Paramètres!$A$1:$I$89,5,0)</f>
        <v>176.80415999999997</v>
      </c>
      <c r="CV81" s="14">
        <f t="shared" si="95"/>
        <v>44.610431038325757</v>
      </c>
      <c r="CW81" s="22">
        <f t="shared" si="67"/>
        <v>385.630412725084</v>
      </c>
      <c r="CX81" s="60">
        <f t="shared" si="68"/>
        <v>678.96374605841731</v>
      </c>
      <c r="CY81" s="60">
        <f ca="1">AVERAGE(OFFSET($CX$3,0,0,'Données projet'!$E$13+1,1))-AVERAGE(OFFSET($H$3,0,0,'Données projet'!$E$13+1,1))</f>
        <v>345.71694170753534</v>
      </c>
      <c r="CZ81" s="60">
        <f t="shared" si="96"/>
        <v>154.08406475869634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230.36207999999988</v>
      </c>
      <c r="P82" s="14">
        <f t="shared" si="87"/>
        <v>56.360964523671768</v>
      </c>
      <c r="Q82" s="22">
        <f t="shared" si="54"/>
        <v>499.37596921206153</v>
      </c>
      <c r="R82" s="60">
        <f t="shared" si="55"/>
        <v>792.70930254539485</v>
      </c>
      <c r="S82" s="60">
        <f ca="1">AVERAGE(OFFSET($R$3,0,0,'Données projet'!$E$9+1,1))-AVERAGE(OFFSET($H$3,0,0,'Données projet'!$E$9+1,1))</f>
        <v>430.21146937947236</v>
      </c>
      <c r="T82" s="60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4.4000000000000004</v>
      </c>
      <c r="AI82" s="14">
        <f>IF('Données projet'!$A$62&gt;35,AI81+AH82-AQ81,IF(A82&lt;'Données projet'!$A$62,$AF$205^A82,IF(A82='Données projet'!$A$62,'Données projet'!$B$62,AI81+AH82-AQ81)))</f>
        <v>221.60000000000005</v>
      </c>
      <c r="AJ82" s="14">
        <f>AI82*VLOOKUP('Données projet'!$B$10,Paramètres!$A$1:$I$89,3,0)*VLOOKUP('Données projet'!$B$10,Paramètres!$A$1:$I$89,5,0)</f>
        <v>210.87456000000003</v>
      </c>
      <c r="AK82" s="14">
        <f t="shared" si="89"/>
        <v>52.12665281185464</v>
      </c>
      <c r="AL82" s="22">
        <f t="shared" si="58"/>
        <v>458.06044564731354</v>
      </c>
      <c r="AM82" s="60">
        <f t="shared" si="59"/>
        <v>751.39377898064686</v>
      </c>
      <c r="AN82" s="60">
        <f ca="1">AVERAGE(OFFSET($AM$3,0,0,'Données projet'!$E$10+1,1))-AVERAGE(OFFSET($H$3,0,0,'Données projet'!$E$10+1,1))</f>
        <v>370.04285308422544</v>
      </c>
      <c r="AO82" s="60">
        <f t="shared" si="90"/>
        <v>218.53758068502731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-2.8421709430404007E-13</v>
      </c>
      <c r="BE82" s="14">
        <f>BD82*VLOOKUP('Données projet'!$B$11,Paramètres!$A$1:$I$89,3,0)*VLOOKUP('Données projet'!$B$11,Paramètres!$A$1:$I$89,5,0)</f>
        <v>-1.69961822393816E-13</v>
      </c>
      <c r="BF82" s="14" t="e">
        <f t="shared" si="91"/>
        <v>#NUM!</v>
      </c>
      <c r="BG82" s="22" t="e">
        <f t="shared" si="61"/>
        <v>#NUM!</v>
      </c>
      <c r="BH82" s="60" t="e">
        <f t="shared" si="62"/>
        <v>#NUM!</v>
      </c>
      <c r="BI82" s="60">
        <f ca="1">AVERAGE(OFFSET($BH$3,0,0,'Données projet'!$E$11+1,1))-AVERAGE(OFFSET($H$3,0,0,'Données projet'!$E$11+1,1))</f>
        <v>225.82185458224626</v>
      </c>
      <c r="BJ82" s="60">
        <f t="shared" si="92"/>
        <v>363.02009369315243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39.728663537217095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2.6386212697864414E-4</v>
      </c>
      <c r="BS82" s="24">
        <f t="shared" si="63"/>
        <v>39.728927399344073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187.39999999999998</v>
      </c>
      <c r="BZ82" s="14">
        <f>BY82*VLOOKUP('Données projet'!$B$12,Paramètres!$A$1:$I$89,3,0)*VLOOKUP('Données projet'!$B$12,Paramètres!$A$1:$I$89,5,0)</f>
        <v>201.71735999999999</v>
      </c>
      <c r="CA82" s="14">
        <f t="shared" si="93"/>
        <v>50.121403455877136</v>
      </c>
      <c r="CB82" s="22">
        <f t="shared" si="64"/>
        <v>438.61917968565263</v>
      </c>
      <c r="CC82" s="60">
        <f t="shared" si="65"/>
        <v>731.95251301898588</v>
      </c>
      <c r="CD82" s="60">
        <f ca="1">AVERAGE(OFFSET($CC$3,0,0,'Données projet'!$E$12+1,1))-AVERAGE(OFFSET($H$3,0,0,'Données projet'!$E$12+1,1))</f>
        <v>380.16582491288449</v>
      </c>
      <c r="CE82" s="60">
        <f t="shared" si="94"/>
        <v>166.97658184507776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187.39999999999998</v>
      </c>
      <c r="CU82" s="18">
        <f>CT82*VLOOKUP('Données projet'!$B$13,Paramètres!$A$1:$I$89,3,0)*VLOOKUP('Données projet'!$B$13,Paramètres!$A$1:$I$89,5,0)</f>
        <v>181.25327999999999</v>
      </c>
      <c r="CV82" s="14">
        <f t="shared" si="95"/>
        <v>45.600905177745403</v>
      </c>
      <c r="CW82" s="22">
        <f t="shared" si="67"/>
        <v>395.10437251790654</v>
      </c>
      <c r="CX82" s="60">
        <f t="shared" si="68"/>
        <v>688.4377058512398</v>
      </c>
      <c r="CY82" s="60">
        <f ca="1">AVERAGE(OFFSET($CX$3,0,0,'Données projet'!$E$13+1,1))-AVERAGE(OFFSET($H$3,0,0,'Données projet'!$E$13+1,1))</f>
        <v>345.71694170753534</v>
      </c>
      <c r="CZ82" s="60">
        <f t="shared" si="96"/>
        <v>154.08406475869634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235.70039999999989</v>
      </c>
      <c r="P83" s="14">
        <f t="shared" si="87"/>
        <v>57.513479567871634</v>
      </c>
      <c r="Q83" s="22">
        <f t="shared" si="54"/>
        <v>510.68084024737624</v>
      </c>
      <c r="R83" s="60">
        <f t="shared" si="55"/>
        <v>804.01417358070955</v>
      </c>
      <c r="S83" s="60">
        <f ca="1">AVERAGE(OFFSET($R$3,0,0,'Données projet'!$E$9+1,1))-AVERAGE(OFFSET($H$3,0,0,'Données projet'!$E$9+1,1))</f>
        <v>430.21146937947236</v>
      </c>
      <c r="T83" s="60">
        <f t="shared" si="88"/>
        <v>231.36959598460686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226</v>
      </c>
      <c r="AG83" s="13">
        <f>VLOOKUP(A83,'Données projet'!$A$61:$I$81,9,0)</f>
        <v>4.4000000000000004</v>
      </c>
      <c r="AH83" s="13">
        <f t="array" ref="AH83">INDEX(AG:AG,MIN(IF(ISNUMBER(AG83:AG279),ROW(AG83:AG279),"")))</f>
        <v>4.4000000000000004</v>
      </c>
      <c r="AI83" s="14">
        <f>IF('Données projet'!$A$62&gt;35,AI82+AH83-AQ82,IF(A83&lt;'Données projet'!$A$62,$AF$205^A83,IF(A83='Données projet'!$A$62,'Données projet'!$B$62,AI82+AH83-AQ82)))</f>
        <v>226.00000000000006</v>
      </c>
      <c r="AJ83" s="14">
        <f>AI83*VLOOKUP('Données projet'!$B$10,Paramètres!$A$1:$I$89,3,0)*VLOOKUP('Données projet'!$B$10,Paramètres!$A$1:$I$89,5,0)</f>
        <v>215.06160000000008</v>
      </c>
      <c r="AK83" s="14">
        <f t="shared" si="89"/>
        <v>53.040134784913185</v>
      </c>
      <c r="AL83" s="22">
        <f t="shared" si="58"/>
        <v>466.94385475039059</v>
      </c>
      <c r="AM83" s="60">
        <f t="shared" si="59"/>
        <v>760.2771880837239</v>
      </c>
      <c r="AN83" s="60">
        <f ca="1">AVERAGE(OFFSET($AM$3,0,0,'Données projet'!$E$10+1,1))-AVERAGE(OFFSET($H$3,0,0,'Données projet'!$E$10+1,1))</f>
        <v>370.04285308422544</v>
      </c>
      <c r="AO83" s="60">
        <f t="shared" si="90"/>
        <v>218.53758068502731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-2.8421709430404007E-13</v>
      </c>
      <c r="BE83" s="14">
        <f>BD83*VLOOKUP('Données projet'!$B$11,Paramètres!$A$1:$I$89,3,0)*VLOOKUP('Données projet'!$B$11,Paramètres!$A$1:$I$89,5,0)</f>
        <v>-1.69961822393816E-13</v>
      </c>
      <c r="BF83" s="14" t="e">
        <f t="shared" si="91"/>
        <v>#NUM!</v>
      </c>
      <c r="BG83" s="22" t="e">
        <f t="shared" si="61"/>
        <v>#NUM!</v>
      </c>
      <c r="BH83" s="60" t="e">
        <f t="shared" si="62"/>
        <v>#NUM!</v>
      </c>
      <c r="BI83" s="60">
        <f ca="1">AVERAGE(OFFSET($BH$3,0,0,'Données projet'!$E$11+1,1))-AVERAGE(OFFSET($H$3,0,0,'Données projet'!$E$11+1,1))</f>
        <v>225.82185458224626</v>
      </c>
      <c r="BJ83" s="60">
        <f t="shared" si="92"/>
        <v>363.02009369315243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38.949608677344308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1.8657869928490514E-4</v>
      </c>
      <c r="BS83" s="24">
        <f t="shared" si="63"/>
        <v>38.949795256043593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191.99999999999997</v>
      </c>
      <c r="BZ83" s="14">
        <f>BY83*VLOOKUP('Données projet'!$B$12,Paramètres!$A$1:$I$89,3,0)*VLOOKUP('Données projet'!$B$12,Paramètres!$A$1:$I$89,5,0)</f>
        <v>206.66879999999995</v>
      </c>
      <c r="CA83" s="14">
        <f t="shared" si="93"/>
        <v>51.206958627992705</v>
      </c>
      <c r="CB83" s="22">
        <f t="shared" si="64"/>
        <v>449.1336129437538</v>
      </c>
      <c r="CC83" s="60">
        <f t="shared" si="65"/>
        <v>742.46694627708712</v>
      </c>
      <c r="CD83" s="60">
        <f ca="1">AVERAGE(OFFSET($CC$3,0,0,'Données projet'!$E$12+1,1))-AVERAGE(OFFSET($H$3,0,0,'Données projet'!$E$12+1,1))</f>
        <v>380.16582491288449</v>
      </c>
      <c r="CE83" s="60">
        <f t="shared" si="94"/>
        <v>166.97658184507776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192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191.99999999999997</v>
      </c>
      <c r="CU83" s="18">
        <f>CT83*VLOOKUP('Données projet'!$B$13,Paramètres!$A$1:$I$89,3,0)*VLOOKUP('Données projet'!$B$13,Paramètres!$A$1:$I$89,5,0)</f>
        <v>185.70239999999998</v>
      </c>
      <c r="CV83" s="14">
        <f t="shared" si="95"/>
        <v>46.588553069776829</v>
      </c>
      <c r="CW83" s="22">
        <f t="shared" si="67"/>
        <v>404.57340992986127</v>
      </c>
      <c r="CX83" s="60">
        <f t="shared" si="68"/>
        <v>697.90674326319458</v>
      </c>
      <c r="CY83" s="60">
        <f ca="1">AVERAGE(OFFSET($CX$3,0,0,'Données projet'!$E$13+1,1))-AVERAGE(OFFSET($H$3,0,0,'Données projet'!$E$13+1,1))</f>
        <v>345.71694170753534</v>
      </c>
      <c r="CZ83" s="60">
        <f t="shared" si="96"/>
        <v>154.08406475869634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241.03871999999987</v>
      </c>
      <c r="P84" s="14">
        <f t="shared" si="87"/>
        <v>58.66295994697046</v>
      </c>
      <c r="Q84" s="22">
        <f t="shared" si="54"/>
        <v>521.98042590763998</v>
      </c>
      <c r="R84" s="60">
        <f t="shared" si="55"/>
        <v>815.31375924097324</v>
      </c>
      <c r="S84" s="60">
        <f ca="1">AVERAGE(OFFSET($R$3,0,0,'Données projet'!$E$9+1,1))-AVERAGE(OFFSET($H$3,0,0,'Données projet'!$E$9+1,1))</f>
        <v>430.21146937947236</v>
      </c>
      <c r="T84" s="60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4.5999999999999996</v>
      </c>
      <c r="AI84" s="14">
        <f>IF('Données projet'!$A$62&gt;35,AI83+AH84-AQ83,IF(A84&lt;'Données projet'!$A$62,$AF$205^A84,IF(A84='Données projet'!$A$62,'Données projet'!$B$62,AI83+AH84-AQ83)))</f>
        <v>230.60000000000005</v>
      </c>
      <c r="AJ84" s="14">
        <f>AI84*VLOOKUP('Données projet'!$B$10,Paramètres!$A$1:$I$89,3,0)*VLOOKUP('Données projet'!$B$10,Paramètres!$A$1:$I$89,5,0)</f>
        <v>219.43896000000004</v>
      </c>
      <c r="AK84" s="14">
        <f t="shared" si="89"/>
        <v>53.992928333089367</v>
      </c>
      <c r="AL84" s="22">
        <f t="shared" si="58"/>
        <v>476.22720551346401</v>
      </c>
      <c r="AM84" s="60">
        <f t="shared" si="59"/>
        <v>769.56053884679727</v>
      </c>
      <c r="AN84" s="60">
        <f ca="1">AVERAGE(OFFSET($AM$3,0,0,'Données projet'!$E$10+1,1))-AVERAGE(OFFSET($H$3,0,0,'Données projet'!$E$10+1,1))</f>
        <v>370.04285308422544</v>
      </c>
      <c r="AO84" s="60">
        <f t="shared" si="90"/>
        <v>218.53758068502731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-2.8421709430404007E-13</v>
      </c>
      <c r="BE84" s="14">
        <f>BD84*VLOOKUP('Données projet'!$B$11,Paramètres!$A$1:$I$89,3,0)*VLOOKUP('Données projet'!$B$11,Paramètres!$A$1:$I$89,5,0)</f>
        <v>-1.69961822393816E-13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225.82185458224626</v>
      </c>
      <c r="BJ84" s="60">
        <f t="shared" si="92"/>
        <v>363.02009369315243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38.185830608097078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1.3193106348932207E-4</v>
      </c>
      <c r="BS84" s="24">
        <f t="shared" si="63"/>
        <v>38.18596253916057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196.39999999999998</v>
      </c>
      <c r="BZ84" s="14">
        <f>BY84*VLOOKUP('Données projet'!$B$12,Paramètres!$A$1:$I$89,3,0)*VLOOKUP('Données projet'!$B$12,Paramètres!$A$1:$I$89,5,0)</f>
        <v>211.40495999999996</v>
      </c>
      <c r="CA84" s="14">
        <f t="shared" si="93"/>
        <v>52.242485557708825</v>
      </c>
      <c r="CB84" s="22">
        <f t="shared" si="64"/>
        <v>459.18596767967614</v>
      </c>
      <c r="CC84" s="60">
        <f t="shared" si="65"/>
        <v>752.51930101300945</v>
      </c>
      <c r="CD84" s="60">
        <f ca="1">AVERAGE(OFFSET($CC$3,0,0,'Données projet'!$E$12+1,1))-AVERAGE(OFFSET($H$3,0,0,'Données projet'!$E$12+1,1))</f>
        <v>380.16582491288449</v>
      </c>
      <c r="CE84" s="60">
        <f t="shared" si="94"/>
        <v>166.97658184507776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196.39999999999998</v>
      </c>
      <c r="CU84" s="18">
        <f>CT84*VLOOKUP('Données projet'!$B$13,Paramètres!$A$1:$I$89,3,0)*VLOOKUP('Données projet'!$B$13,Paramètres!$A$1:$I$89,5,0)</f>
        <v>189.95808</v>
      </c>
      <c r="CV84" s="14">
        <f t="shared" si="95"/>
        <v>47.530684815400313</v>
      </c>
      <c r="CW84" s="22">
        <f t="shared" si="67"/>
        <v>413.62626538682224</v>
      </c>
      <c r="CX84" s="60">
        <f t="shared" si="68"/>
        <v>706.95959872015555</v>
      </c>
      <c r="CY84" s="60">
        <f ca="1">AVERAGE(OFFSET($CX$3,0,0,'Données projet'!$E$13+1,1))-AVERAGE(OFFSET($H$3,0,0,'Données projet'!$E$13+1,1))</f>
        <v>345.71694170753534</v>
      </c>
      <c r="CZ84" s="60">
        <f t="shared" si="96"/>
        <v>154.08406475869634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246.37703999999982</v>
      </c>
      <c r="P85" s="14">
        <f t="shared" si="87"/>
        <v>59.809480609038189</v>
      </c>
      <c r="Q85" s="22">
        <f t="shared" si="54"/>
        <v>533.27485672740784</v>
      </c>
      <c r="R85" s="60">
        <f t="shared" si="55"/>
        <v>826.60819006074121</v>
      </c>
      <c r="S85" s="60">
        <f ca="1">AVERAGE(OFFSET($R$3,0,0,'Données projet'!$E$9+1,1))-AVERAGE(OFFSET($H$3,0,0,'Données projet'!$E$9+1,1))</f>
        <v>430.21146937947236</v>
      </c>
      <c r="T85" s="60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4.5999999999999996</v>
      </c>
      <c r="AI85" s="14">
        <f>IF('Données projet'!$A$62&gt;35,AI84+AH85-AQ84,IF(A85&lt;'Données projet'!$A$62,$AF$205^A85,IF(A85='Données projet'!$A$62,'Données projet'!$B$62,AI84+AH85-AQ84)))</f>
        <v>235.20000000000005</v>
      </c>
      <c r="AJ85" s="14">
        <f>AI85*VLOOKUP('Données projet'!$B$10,Paramètres!$A$1:$I$89,3,0)*VLOOKUP('Données projet'!$B$10,Paramètres!$A$1:$I$89,5,0)</f>
        <v>223.81632000000008</v>
      </c>
      <c r="AK85" s="14">
        <f t="shared" si="89"/>
        <v>54.94351196072666</v>
      </c>
      <c r="AL85" s="22">
        <f t="shared" si="58"/>
        <v>485.50670733159899</v>
      </c>
      <c r="AM85" s="60">
        <f t="shared" si="59"/>
        <v>778.8400406649323</v>
      </c>
      <c r="AN85" s="60">
        <f ca="1">AVERAGE(OFFSET($AM$3,0,0,'Données projet'!$E$10+1,1))-AVERAGE(OFFSET($H$3,0,0,'Données projet'!$E$10+1,1))</f>
        <v>370.04285308422544</v>
      </c>
      <c r="AO85" s="60">
        <f t="shared" si="90"/>
        <v>218.53758068502731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-2.8421709430404007E-13</v>
      </c>
      <c r="BE85" s="14">
        <f>BD85*VLOOKUP('Données projet'!$B$11,Paramètres!$A$1:$I$89,3,0)*VLOOKUP('Données projet'!$B$11,Paramètres!$A$1:$I$89,5,0)</f>
        <v>-1.69961822393816E-13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225.82185458224626</v>
      </c>
      <c r="BJ85" s="60">
        <f t="shared" si="92"/>
        <v>363.02009369315243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37.437029760929164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9.3289349642452571E-5</v>
      </c>
      <c r="BS85" s="24">
        <f t="shared" si="63"/>
        <v>37.437123050278807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200.79999999999998</v>
      </c>
      <c r="BZ85" s="14">
        <f>BY85*VLOOKUP('Données projet'!$B$12,Paramètres!$A$1:$I$89,3,0)*VLOOKUP('Données projet'!$B$12,Paramètres!$A$1:$I$89,5,0)</f>
        <v>216.14111999999994</v>
      </c>
      <c r="CA85" s="14">
        <f t="shared" si="93"/>
        <v>53.275315382572593</v>
      </c>
      <c r="CB85" s="22">
        <f t="shared" si="64"/>
        <v>469.23362495798051</v>
      </c>
      <c r="CC85" s="60">
        <f t="shared" si="65"/>
        <v>762.56695829131377</v>
      </c>
      <c r="CD85" s="60">
        <f ca="1">AVERAGE(OFFSET($CC$3,0,0,'Données projet'!$E$12+1,1))-AVERAGE(OFFSET($H$3,0,0,'Données projet'!$E$12+1,1))</f>
        <v>380.16582491288449</v>
      </c>
      <c r="CE85" s="60">
        <f t="shared" si="94"/>
        <v>166.97658184507776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200.79999999999998</v>
      </c>
      <c r="CU85" s="18">
        <f>CT85*VLOOKUP('Données projet'!$B$13,Paramètres!$A$1:$I$89,3,0)*VLOOKUP('Données projet'!$B$13,Paramètres!$A$1:$I$89,5,0)</f>
        <v>194.21376000000001</v>
      </c>
      <c r="CV85" s="14">
        <f t="shared" si="95"/>
        <v>48.470362710689521</v>
      </c>
      <c r="CW85" s="22">
        <f t="shared" si="67"/>
        <v>422.67484705445094</v>
      </c>
      <c r="CX85" s="60">
        <f t="shared" si="68"/>
        <v>716.00818038778425</v>
      </c>
      <c r="CY85" s="60">
        <f ca="1">AVERAGE(OFFSET($CX$3,0,0,'Données projet'!$E$13+1,1))-AVERAGE(OFFSET($H$3,0,0,'Données projet'!$E$13+1,1))</f>
        <v>345.71694170753534</v>
      </c>
      <c r="CZ85" s="60">
        <f t="shared" si="96"/>
        <v>154.08406475869634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251.71535999999983</v>
      </c>
      <c r="P86" s="14">
        <f t="shared" si="87"/>
        <v>60.953113068801812</v>
      </c>
      <c r="Q86" s="22">
        <f t="shared" si="54"/>
        <v>544.5642572614961</v>
      </c>
      <c r="R86" s="60">
        <f t="shared" si="55"/>
        <v>837.89759059482935</v>
      </c>
      <c r="S86" s="60">
        <f ca="1">AVERAGE(OFFSET($R$3,0,0,'Données projet'!$E$9+1,1))-AVERAGE(OFFSET($H$3,0,0,'Données projet'!$E$9+1,1))</f>
        <v>430.21146937947236</v>
      </c>
      <c r="T86" s="60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4.5999999999999996</v>
      </c>
      <c r="AI86" s="14">
        <f>IF('Données projet'!$A$62&gt;35,AI85+AH86-AQ85,IF(A86&lt;'Données projet'!$A$62,$AF$205^A86,IF(A86='Données projet'!$A$62,'Données projet'!$B$62,AI85+AH86-AQ85)))</f>
        <v>239.80000000000004</v>
      </c>
      <c r="AJ86" s="14">
        <f>AI86*VLOOKUP('Données projet'!$B$10,Paramètres!$A$1:$I$89,3,0)*VLOOKUP('Données projet'!$B$10,Paramètres!$A$1:$I$89,5,0)</f>
        <v>228.19368000000003</v>
      </c>
      <c r="AK86" s="14">
        <f t="shared" si="89"/>
        <v>55.891933871330593</v>
      </c>
      <c r="AL86" s="22">
        <f t="shared" si="58"/>
        <v>494.7824441592341</v>
      </c>
      <c r="AM86" s="60">
        <f t="shared" si="59"/>
        <v>788.11577749256742</v>
      </c>
      <c r="AN86" s="60">
        <f ca="1">AVERAGE(OFFSET($AM$3,0,0,'Données projet'!$E$10+1,1))-AVERAGE(OFFSET($H$3,0,0,'Données projet'!$E$10+1,1))</f>
        <v>370.04285308422544</v>
      </c>
      <c r="AO86" s="60">
        <f t="shared" si="90"/>
        <v>218.53758068502731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-2.8421709430404007E-13</v>
      </c>
      <c r="BE86" s="14">
        <f>BD86*VLOOKUP('Données projet'!$B$11,Paramètres!$A$1:$I$89,3,0)*VLOOKUP('Données projet'!$B$11,Paramètres!$A$1:$I$89,5,0)</f>
        <v>-1.69961822393816E-13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225.82185458224626</v>
      </c>
      <c r="BJ86" s="60">
        <f t="shared" si="92"/>
        <v>363.02009369315243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36.702912441650795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6.5965531744661035E-5</v>
      </c>
      <c r="BS86" s="24">
        <f t="shared" si="63"/>
        <v>36.702978407182542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205.2</v>
      </c>
      <c r="BZ86" s="14">
        <f>BY86*VLOOKUP('Données projet'!$B$12,Paramètres!$A$1:$I$89,3,0)*VLOOKUP('Données projet'!$B$12,Paramètres!$A$1:$I$89,5,0)</f>
        <v>220.87727999999998</v>
      </c>
      <c r="CA86" s="14">
        <f t="shared" si="93"/>
        <v>54.305514008302801</v>
      </c>
      <c r="CB86" s="22">
        <f t="shared" si="64"/>
        <v>479.27669956446061</v>
      </c>
      <c r="CC86" s="60">
        <f t="shared" si="65"/>
        <v>772.61003289779387</v>
      </c>
      <c r="CD86" s="60">
        <f ca="1">AVERAGE(OFFSET($CC$3,0,0,'Données projet'!$E$12+1,1))-AVERAGE(OFFSET($H$3,0,0,'Données projet'!$E$12+1,1))</f>
        <v>380.16582491288449</v>
      </c>
      <c r="CE86" s="60">
        <f t="shared" si="94"/>
        <v>166.97658184507776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205.2</v>
      </c>
      <c r="CU86" s="18">
        <f>CT86*VLOOKUP('Données projet'!$B$13,Paramètres!$A$1:$I$89,3,0)*VLOOKUP('Données projet'!$B$13,Paramètres!$A$1:$I$89,5,0)</f>
        <v>198.46943999999999</v>
      </c>
      <c r="CV86" s="14">
        <f t="shared" si="95"/>
        <v>49.407646717262175</v>
      </c>
      <c r="CW86" s="22">
        <f t="shared" si="67"/>
        <v>431.71925936589827</v>
      </c>
      <c r="CX86" s="60">
        <f t="shared" si="68"/>
        <v>725.05259269923158</v>
      </c>
      <c r="CY86" s="60">
        <f ca="1">AVERAGE(OFFSET($CX$3,0,0,'Données projet'!$E$13+1,1))-AVERAGE(OFFSET($H$3,0,0,'Données projet'!$E$13+1,1))</f>
        <v>345.71694170753534</v>
      </c>
      <c r="CZ86" s="60">
        <f t="shared" si="96"/>
        <v>154.08406475869634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257.05367999999982</v>
      </c>
      <c r="P87" s="14">
        <f t="shared" si="87"/>
        <v>62.093925634350327</v>
      </c>
      <c r="Q87" s="22">
        <f t="shared" si="54"/>
        <v>555.84874647982645</v>
      </c>
      <c r="R87" s="60">
        <f t="shared" si="55"/>
        <v>849.18207981315982</v>
      </c>
      <c r="S87" s="60">
        <f ca="1">AVERAGE(OFFSET($R$3,0,0,'Données projet'!$E$9+1,1))-AVERAGE(OFFSET($H$3,0,0,'Données projet'!$E$9+1,1))</f>
        <v>430.21146937947236</v>
      </c>
      <c r="T87" s="60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4.5999999999999996</v>
      </c>
      <c r="AI87" s="14">
        <f>IF('Données projet'!$A$62&gt;35,AI86+AH87-AQ86,IF(A87&lt;'Données projet'!$A$62,$AF$205^A87,IF(A87='Données projet'!$A$62,'Données projet'!$B$62,AI86+AH87-AQ86)))</f>
        <v>244.40000000000003</v>
      </c>
      <c r="AJ87" s="14">
        <f>AI87*VLOOKUP('Données projet'!$B$10,Paramètres!$A$1:$I$89,3,0)*VLOOKUP('Données projet'!$B$10,Paramètres!$A$1:$I$89,5,0)</f>
        <v>232.57104000000007</v>
      </c>
      <c r="AK87" s="14">
        <f t="shared" si="89"/>
        <v>56.838240313256705</v>
      </c>
      <c r="AL87" s="22">
        <f t="shared" si="58"/>
        <v>504.05449654558885</v>
      </c>
      <c r="AM87" s="60">
        <f t="shared" si="59"/>
        <v>797.38782987892216</v>
      </c>
      <c r="AN87" s="60">
        <f ca="1">AVERAGE(OFFSET($AM$3,0,0,'Données projet'!$E$10+1,1))-AVERAGE(OFFSET($H$3,0,0,'Données projet'!$E$10+1,1))</f>
        <v>370.04285308422544</v>
      </c>
      <c r="AO87" s="60">
        <f t="shared" si="90"/>
        <v>218.53758068502731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-2.8421709430404007E-13</v>
      </c>
      <c r="BE87" s="14">
        <f>BD87*VLOOKUP('Données projet'!$B$11,Paramètres!$A$1:$I$89,3,0)*VLOOKUP('Données projet'!$B$11,Paramètres!$A$1:$I$89,5,0)</f>
        <v>-1.69961822393816E-13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225.82185458224626</v>
      </c>
      <c r="BJ87" s="60">
        <f t="shared" si="92"/>
        <v>363.02009369315243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35.98319071523612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4.6644674821226286E-5</v>
      </c>
      <c r="BS87" s="24">
        <f t="shared" si="63"/>
        <v>35.983237359910937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209.6</v>
      </c>
      <c r="BZ87" s="14">
        <f>BY87*VLOOKUP('Données projet'!$B$12,Paramètres!$A$1:$I$89,3,0)*VLOOKUP('Données projet'!$B$12,Paramètres!$A$1:$I$89,5,0)</f>
        <v>225.61344</v>
      </c>
      <c r="CA87" s="14">
        <f t="shared" si="93"/>
        <v>55.333144352799209</v>
      </c>
      <c r="CB87" s="22">
        <f t="shared" si="64"/>
        <v>489.31530108112526</v>
      </c>
      <c r="CC87" s="60">
        <f t="shared" si="65"/>
        <v>782.64863441445857</v>
      </c>
      <c r="CD87" s="60">
        <f ca="1">AVERAGE(OFFSET($CC$3,0,0,'Données projet'!$E$12+1,1))-AVERAGE(OFFSET($H$3,0,0,'Données projet'!$E$12+1,1))</f>
        <v>380.16582491288449</v>
      </c>
      <c r="CE87" s="60">
        <f t="shared" si="94"/>
        <v>166.97658184507776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209.6</v>
      </c>
      <c r="CU87" s="18">
        <f>CT87*VLOOKUP('Données projet'!$B$13,Paramètres!$A$1:$I$89,3,0)*VLOOKUP('Données projet'!$B$13,Paramètres!$A$1:$I$89,5,0)</f>
        <v>202.72512</v>
      </c>
      <c r="CV87" s="14">
        <f t="shared" si="95"/>
        <v>50.342594078391187</v>
      </c>
      <c r="CW87" s="22">
        <f t="shared" si="67"/>
        <v>440.75960201986459</v>
      </c>
      <c r="CX87" s="60">
        <f t="shared" si="68"/>
        <v>734.09293535319784</v>
      </c>
      <c r="CY87" s="60">
        <f ca="1">AVERAGE(OFFSET($CX$3,0,0,'Données projet'!$E$13+1,1))-AVERAGE(OFFSET($H$3,0,0,'Données projet'!$E$13+1,1))</f>
        <v>345.71694170753534</v>
      </c>
      <c r="CZ87" s="60">
        <f t="shared" si="96"/>
        <v>154.08406475869634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262.39199999999977</v>
      </c>
      <c r="P88" s="14">
        <f t="shared" si="87"/>
        <v>63.231983614474892</v>
      </c>
      <c r="Q88" s="22">
        <f t="shared" si="54"/>
        <v>567.12843812854328</v>
      </c>
      <c r="R88" s="60">
        <f t="shared" si="55"/>
        <v>860.46177146187665</v>
      </c>
      <c r="S88" s="60">
        <f ca="1">AVERAGE(OFFSET($R$3,0,0,'Données projet'!$E$9+1,1))-AVERAGE(OFFSET($H$3,0,0,'Données projet'!$E$9+1,1))</f>
        <v>430.21146937947236</v>
      </c>
      <c r="T88" s="60">
        <f t="shared" si="88"/>
        <v>231.36959598460686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249</v>
      </c>
      <c r="AG88" s="13">
        <f>VLOOKUP(A88,'Données projet'!$A$61:$I$81,9,0)</f>
        <v>4.5999999999999996</v>
      </c>
      <c r="AH88" s="13">
        <f t="array" ref="AH88">INDEX(AG:AG,MIN(IF(ISNUMBER(AG88:AG284),ROW(AG88:AG284),"")))</f>
        <v>4.5999999999999996</v>
      </c>
      <c r="AI88" s="14">
        <f>IF('Données projet'!$A$62&gt;35,AI87+AH88-AQ87,IF(A88&lt;'Données projet'!$A$62,$AF$205^A88,IF(A88='Données projet'!$A$62,'Données projet'!$B$62,AI87+AH88-AQ87)))</f>
        <v>249.00000000000003</v>
      </c>
      <c r="AJ88" s="14">
        <f>AI88*VLOOKUP('Données projet'!$B$10,Paramètres!$A$1:$I$89,3,0)*VLOOKUP('Données projet'!$B$10,Paramètres!$A$1:$I$89,5,0)</f>
        <v>236.94840000000002</v>
      </c>
      <c r="AK88" s="14">
        <f t="shared" si="89"/>
        <v>57.782475694292401</v>
      </c>
      <c r="AL88" s="22">
        <f t="shared" si="58"/>
        <v>513.32294183422596</v>
      </c>
      <c r="AM88" s="60">
        <f t="shared" si="59"/>
        <v>806.65627516755922</v>
      </c>
      <c r="AN88" s="60">
        <f ca="1">AVERAGE(OFFSET($AM$3,0,0,'Données projet'!$E$10+1,1))-AVERAGE(OFFSET($H$3,0,0,'Données projet'!$E$10+1,1))</f>
        <v>370.04285308422544</v>
      </c>
      <c r="AO88" s="60">
        <f t="shared" si="90"/>
        <v>218.53758068502731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27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-2.8421709430404007E-13</v>
      </c>
      <c r="BE88" s="14">
        <f>BD88*VLOOKUP('Données projet'!$B$11,Paramètres!$A$1:$I$89,3,0)*VLOOKUP('Données projet'!$B$11,Paramètres!$A$1:$I$89,5,0)</f>
        <v>-1.69961822393816E-13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225.82185458224626</v>
      </c>
      <c r="BJ88" s="60">
        <f t="shared" si="92"/>
        <v>363.02009369315243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35.277582292889534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3.2982765872330518E-5</v>
      </c>
      <c r="BS88" s="24">
        <f t="shared" si="63"/>
        <v>35.277615275655407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214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214</v>
      </c>
      <c r="BZ88" s="14">
        <f>BY88*VLOOKUP('Données projet'!$B$12,Paramètres!$A$1:$I$89,3,0)*VLOOKUP('Données projet'!$B$12,Paramètres!$A$1:$I$89,5,0)</f>
        <v>230.34960000000001</v>
      </c>
      <c r="CA88" s="14">
        <f t="shared" si="93"/>
        <v>56.35826654142631</v>
      </c>
      <c r="CB88" s="22">
        <f t="shared" si="64"/>
        <v>499.34953422631753</v>
      </c>
      <c r="CC88" s="60">
        <f t="shared" si="65"/>
        <v>792.68286755965084</v>
      </c>
      <c r="CD88" s="60">
        <f ca="1">AVERAGE(OFFSET($CC$3,0,0,'Données projet'!$E$12+1,1))-AVERAGE(OFFSET($H$3,0,0,'Données projet'!$E$12+1,1))</f>
        <v>380.16582491288449</v>
      </c>
      <c r="CE88" s="60">
        <f t="shared" si="94"/>
        <v>166.97658184507776</v>
      </c>
      <c r="CF88" s="16">
        <f>IF(ISNA(VLOOKUP(A88,'Données projet'!$A$113:$I$133,3,0)),0,VLOOKUP(A88,'Données projet'!$A$113:$I$133,3,0))</f>
        <v>6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214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214</v>
      </c>
      <c r="CU88" s="18">
        <f>CT88*VLOOKUP('Données projet'!$B$13,Paramètres!$A$1:$I$89,3,0)*VLOOKUP('Données projet'!$B$13,Paramètres!$A$1:$I$89,5,0)</f>
        <v>206.98080000000002</v>
      </c>
      <c r="CV88" s="14">
        <f t="shared" si="95"/>
        <v>51.275259496675787</v>
      </c>
      <c r="CW88" s="22">
        <f t="shared" si="67"/>
        <v>449.79597029004367</v>
      </c>
      <c r="CX88" s="60">
        <f t="shared" si="68"/>
        <v>743.12930362337693</v>
      </c>
      <c r="CY88" s="60">
        <f ca="1">AVERAGE(OFFSET($CX$3,0,0,'Données projet'!$E$13+1,1))-AVERAGE(OFFSET($H$3,0,0,'Données projet'!$E$13+1,1))</f>
        <v>345.71694170753534</v>
      </c>
      <c r="CZ88" s="60">
        <f t="shared" si="96"/>
        <v>154.08406475869634</v>
      </c>
      <c r="DA88" s="16">
        <f>IF(ISNA(VLOOKUP(A88,'Données projet'!$A$139:$I$159,3,0)),0,VLOOKUP(A88,'Données projet'!$A$139:$I$159,3,0))</f>
        <v>6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229.09535999999977</v>
      </c>
      <c r="P89" s="14">
        <f t="shared" si="87"/>
        <v>56.087032370558362</v>
      </c>
      <c r="Q89" s="22">
        <f t="shared" si="54"/>
        <v>496.69266671205543</v>
      </c>
      <c r="R89" s="60">
        <f t="shared" si="55"/>
        <v>790.02600004538874</v>
      </c>
      <c r="S89" s="60">
        <f ca="1">AVERAGE(OFFSET($R$3,0,0,'Données projet'!$E$9+1,1))-AVERAGE(OFFSET($H$3,0,0,'Données projet'!$E$9+1,1))</f>
        <v>430.21146937947236</v>
      </c>
      <c r="T89" s="60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</v>
      </c>
      <c r="AI89" s="14">
        <f>IF('Données projet'!$A$62&gt;35,AI88+AH89-AQ88,IF(A89&lt;'Données projet'!$A$62,$AF$205^A89,IF(A89='Données projet'!$A$62,'Données projet'!$B$62,AI88+AH89-AQ88)))</f>
        <v>226.00000000000003</v>
      </c>
      <c r="AJ89" s="14">
        <f>AI89*VLOOKUP('Données projet'!$B$10,Paramètres!$A$1:$I$89,3,0)*VLOOKUP('Données projet'!$B$10,Paramètres!$A$1:$I$89,5,0)</f>
        <v>215.06160000000003</v>
      </c>
      <c r="AK89" s="14">
        <f t="shared" si="89"/>
        <v>53.040134784913185</v>
      </c>
      <c r="AL89" s="22">
        <f t="shared" si="58"/>
        <v>466.94385475039053</v>
      </c>
      <c r="AM89" s="60">
        <f t="shared" si="59"/>
        <v>760.27718808372379</v>
      </c>
      <c r="AN89" s="60">
        <f ca="1">AVERAGE(OFFSET($AM$3,0,0,'Données projet'!$E$10+1,1))-AVERAGE(OFFSET($H$3,0,0,'Données projet'!$E$10+1,1))</f>
        <v>370.04285308422544</v>
      </c>
      <c r="AO89" s="60">
        <f t="shared" si="90"/>
        <v>218.53758068502731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-2.8421709430404007E-13</v>
      </c>
      <c r="BE89" s="14">
        <f>BD89*VLOOKUP('Données projet'!$B$11,Paramètres!$A$1:$I$89,3,0)*VLOOKUP('Données projet'!$B$11,Paramètres!$A$1:$I$89,5,0)</f>
        <v>-1.69961822393816E-13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225.82185458224626</v>
      </c>
      <c r="BJ89" s="60">
        <f t="shared" si="92"/>
        <v>363.02009369315243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34.585810421326521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2.3322337410613143E-5</v>
      </c>
      <c r="BS89" s="24">
        <f t="shared" si="63"/>
        <v>34.585833743663933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</v>
      </c>
      <c r="BY89" s="13">
        <f>IF('Données projet'!$A$114&gt;35,BY88+BX89-CG88,IF(A89&lt;'Données projet'!$A$114,$BV$205^A89,IF(A89='Données projet'!$A$114,'Données projet'!$B$114,BY88+BX89-CG88)))</f>
        <v>190</v>
      </c>
      <c r="BZ89" s="14">
        <f>BY89*VLOOKUP('Données projet'!$B$12,Paramètres!$A$1:$I$89,3,0)*VLOOKUP('Données projet'!$B$12,Paramètres!$A$1:$I$89,5,0)</f>
        <v>204.51599999999999</v>
      </c>
      <c r="CA89" s="14">
        <f t="shared" si="93"/>
        <v>50.735354396355888</v>
      </c>
      <c r="CB89" s="22">
        <f t="shared" si="64"/>
        <v>444.56277557365314</v>
      </c>
      <c r="CC89" s="60">
        <f t="shared" si="65"/>
        <v>737.89610890698646</v>
      </c>
      <c r="CD89" s="60">
        <f ca="1">AVERAGE(OFFSET($CC$3,0,0,'Données projet'!$E$12+1,1))-AVERAGE(OFFSET($H$3,0,0,'Données projet'!$E$12+1,1))</f>
        <v>380.16582491288449</v>
      </c>
      <c r="CE89" s="60">
        <f t="shared" si="94"/>
        <v>166.97658184507776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</v>
      </c>
      <c r="CT89" s="13">
        <f>IF('Données projet'!$A$140&gt;35,CT88+CS89-DB88,IF(A89&lt;'Données projet'!$A$140,$CQ$205^A89,IF(A89='Données projet'!$A$140,'Données projet'!$B$140,CT88+CS89-DB88)))</f>
        <v>190</v>
      </c>
      <c r="CU89" s="18">
        <f>CT89*VLOOKUP('Données projet'!$B$13,Paramètres!$A$1:$I$89,3,0)*VLOOKUP('Données projet'!$B$13,Paramètres!$A$1:$I$89,5,0)</f>
        <v>183.768</v>
      </c>
      <c r="CV89" s="14">
        <f t="shared" si="95"/>
        <v>46.159483283907285</v>
      </c>
      <c r="CW89" s="22">
        <f t="shared" si="67"/>
        <v>400.45703338613856</v>
      </c>
      <c r="CX89" s="60">
        <f t="shared" si="68"/>
        <v>693.79036671947188</v>
      </c>
      <c r="CY89" s="60">
        <f ca="1">AVERAGE(OFFSET($CX$3,0,0,'Données projet'!$E$13+1,1))-AVERAGE(OFFSET($H$3,0,0,'Données projet'!$E$13+1,1))</f>
        <v>345.71694170753534</v>
      </c>
      <c r="CZ89" s="60">
        <f t="shared" si="96"/>
        <v>154.08406475869634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233.80031999999977</v>
      </c>
      <c r="P90" s="14">
        <f t="shared" si="87"/>
        <v>57.103614181373779</v>
      </c>
      <c r="Q90" s="22">
        <f t="shared" si="54"/>
        <v>506.65768536589218</v>
      </c>
      <c r="R90" s="60">
        <f t="shared" si="55"/>
        <v>799.99101869922549</v>
      </c>
      <c r="S90" s="60">
        <f ca="1">AVERAGE(OFFSET($R$3,0,0,'Données projet'!$E$9+1,1))-AVERAGE(OFFSET($H$3,0,0,'Données projet'!$E$9+1,1))</f>
        <v>430.21146937947236</v>
      </c>
      <c r="T90" s="60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</v>
      </c>
      <c r="AI90" s="14">
        <f>IF('Données projet'!$A$62&gt;35,AI89+AH90-AQ89,IF(A90&lt;'Données projet'!$A$62,$AF$205^A90,IF(A90='Données projet'!$A$62,'Données projet'!$B$62,AI89+AH90-AQ89)))</f>
        <v>230.00000000000003</v>
      </c>
      <c r="AJ90" s="14">
        <f>AI90*VLOOKUP('Données projet'!$B$10,Paramètres!$A$1:$I$89,3,0)*VLOOKUP('Données projet'!$B$10,Paramètres!$A$1:$I$89,5,0)</f>
        <v>218.86800000000002</v>
      </c>
      <c r="AK90" s="14">
        <f t="shared" si="89"/>
        <v>53.868777293257544</v>
      </c>
      <c r="AL90" s="22">
        <f t="shared" si="58"/>
        <v>475.01655378575691</v>
      </c>
      <c r="AM90" s="60">
        <f t="shared" si="59"/>
        <v>768.34988711909023</v>
      </c>
      <c r="AN90" s="60">
        <f ca="1">AVERAGE(OFFSET($AM$3,0,0,'Données projet'!$E$10+1,1))-AVERAGE(OFFSET($H$3,0,0,'Données projet'!$E$10+1,1))</f>
        <v>370.04285308422544</v>
      </c>
      <c r="AO90" s="60">
        <f t="shared" si="90"/>
        <v>218.53758068502731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-2.8421709430404007E-13</v>
      </c>
      <c r="BE90" s="14">
        <f>BD90*VLOOKUP('Données projet'!$B$11,Paramètres!$A$1:$I$89,3,0)*VLOOKUP('Données projet'!$B$11,Paramètres!$A$1:$I$89,5,0)</f>
        <v>-1.69961822393816E-13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225.82185458224626</v>
      </c>
      <c r="BJ90" s="60">
        <f t="shared" si="92"/>
        <v>363.02009369315243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33.907603774225677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1.6491382936165259E-5</v>
      </c>
      <c r="BS90" s="24">
        <f t="shared" si="63"/>
        <v>33.907620265608614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</v>
      </c>
      <c r="BY90" s="13">
        <f>IF('Données projet'!$A$114&gt;35,BY89+BX90-CG89,IF(A90&lt;'Données projet'!$A$114,$BV$205^A90,IF(A90='Données projet'!$A$114,'Données projet'!$B$114,BY89+BX90-CG89)))</f>
        <v>194</v>
      </c>
      <c r="BZ90" s="14">
        <f>BY90*VLOOKUP('Données projet'!$B$12,Paramètres!$A$1:$I$89,3,0)*VLOOKUP('Données projet'!$B$12,Paramètres!$A$1:$I$89,5,0)</f>
        <v>208.82159999999999</v>
      </c>
      <c r="CA90" s="14">
        <f t="shared" si="93"/>
        <v>51.6779913750944</v>
      </c>
      <c r="CB90" s="22">
        <f t="shared" si="64"/>
        <v>453.70345497828936</v>
      </c>
      <c r="CC90" s="60">
        <f t="shared" si="65"/>
        <v>747.03678831162267</v>
      </c>
      <c r="CD90" s="60">
        <f ca="1">AVERAGE(OFFSET($CC$3,0,0,'Données projet'!$E$12+1,1))-AVERAGE(OFFSET($H$3,0,0,'Données projet'!$E$12+1,1))</f>
        <v>380.16582491288449</v>
      </c>
      <c r="CE90" s="60">
        <f t="shared" si="94"/>
        <v>166.97658184507776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</v>
      </c>
      <c r="CT90" s="13">
        <f>IF('Données projet'!$A$140&gt;35,CT89+CS90-DB89,IF(A90&lt;'Données projet'!$A$140,$CQ$205^A90,IF(A90='Données projet'!$A$140,'Données projet'!$B$140,CT89+CS90-DB89)))</f>
        <v>194</v>
      </c>
      <c r="CU90" s="18">
        <f>CT90*VLOOKUP('Données projet'!$B$13,Paramètres!$A$1:$I$89,3,0)*VLOOKUP('Données projet'!$B$13,Paramètres!$A$1:$I$89,5,0)</f>
        <v>187.63680000000002</v>
      </c>
      <c r="CV90" s="14">
        <f t="shared" si="95"/>
        <v>47.01710291385907</v>
      </c>
      <c r="CW90" s="22">
        <f t="shared" si="67"/>
        <v>408.68888090830461</v>
      </c>
      <c r="CX90" s="60">
        <f t="shared" si="68"/>
        <v>702.02221424163793</v>
      </c>
      <c r="CY90" s="60">
        <f ca="1">AVERAGE(OFFSET($CX$3,0,0,'Données projet'!$E$13+1,1))-AVERAGE(OFFSET($H$3,0,0,'Données projet'!$E$13+1,1))</f>
        <v>345.71694170753534</v>
      </c>
      <c r="CZ90" s="60">
        <f t="shared" si="96"/>
        <v>154.08406475869634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238.50527999999974</v>
      </c>
      <c r="P91" s="14">
        <f t="shared" si="87"/>
        <v>58.117817352909832</v>
      </c>
      <c r="Q91" s="22">
        <f t="shared" si="54"/>
        <v>516.61856122298411</v>
      </c>
      <c r="R91" s="60">
        <f t="shared" si="55"/>
        <v>809.95189455631748</v>
      </c>
      <c r="S91" s="60">
        <f ca="1">AVERAGE(OFFSET($R$3,0,0,'Données projet'!$E$9+1,1))-AVERAGE(OFFSET($H$3,0,0,'Données projet'!$E$9+1,1))</f>
        <v>430.21146937947236</v>
      </c>
      <c r="T91" s="60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</v>
      </c>
      <c r="AI91" s="14">
        <f>IF('Données projet'!$A$62&gt;35,AI90+AH91-AQ90,IF(A91&lt;'Données projet'!$A$62,$AF$205^A91,IF(A91='Données projet'!$A$62,'Données projet'!$B$62,AI90+AH91-AQ90)))</f>
        <v>234.00000000000003</v>
      </c>
      <c r="AJ91" s="14">
        <f>AI91*VLOOKUP('Données projet'!$B$10,Paramètres!$A$1:$I$89,3,0)*VLOOKUP('Données projet'!$B$10,Paramètres!$A$1:$I$89,5,0)</f>
        <v>222.67440000000002</v>
      </c>
      <c r="AK91" s="14">
        <f t="shared" si="89"/>
        <v>54.695743948366477</v>
      </c>
      <c r="AL91" s="22">
        <f t="shared" si="58"/>
        <v>483.08633404340497</v>
      </c>
      <c r="AM91" s="60">
        <f t="shared" si="59"/>
        <v>776.41966737673829</v>
      </c>
      <c r="AN91" s="60">
        <f ca="1">AVERAGE(OFFSET($AM$3,0,0,'Données projet'!$E$10+1,1))-AVERAGE(OFFSET($H$3,0,0,'Données projet'!$E$10+1,1))</f>
        <v>370.04285308422544</v>
      </c>
      <c r="AO91" s="60">
        <f t="shared" si="90"/>
        <v>218.53758068502731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-2.8421709430404007E-13</v>
      </c>
      <c r="BE91" s="14">
        <f>BD91*VLOOKUP('Données projet'!$B$11,Paramètres!$A$1:$I$89,3,0)*VLOOKUP('Données projet'!$B$11,Paramètres!$A$1:$I$89,5,0)</f>
        <v>-1.69961822393816E-13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225.82185458224626</v>
      </c>
      <c r="BJ91" s="60">
        <f t="shared" si="92"/>
        <v>363.02009369315243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33.242696345809279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1.1661168705306571E-5</v>
      </c>
      <c r="BS91" s="24">
        <f t="shared" si="63"/>
        <v>33.242708006977985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</v>
      </c>
      <c r="BY91" s="13">
        <f>IF('Données projet'!$A$114&gt;35,BY90+BX91-CG90,IF(A91&lt;'Données projet'!$A$114,$BV$205^A91,IF(A91='Données projet'!$A$114,'Données projet'!$B$114,BY90+BX91-CG90)))</f>
        <v>198</v>
      </c>
      <c r="BZ91" s="14">
        <f>BY91*VLOOKUP('Données projet'!$B$12,Paramètres!$A$1:$I$89,3,0)*VLOOKUP('Données projet'!$B$12,Paramètres!$A$1:$I$89,5,0)</f>
        <v>213.12719999999996</v>
      </c>
      <c r="CA91" s="14">
        <f t="shared" si="93"/>
        <v>52.618368568459893</v>
      </c>
      <c r="CB91" s="22">
        <f t="shared" si="64"/>
        <v>462.84019859006759</v>
      </c>
      <c r="CC91" s="60">
        <f t="shared" si="65"/>
        <v>756.1735319234009</v>
      </c>
      <c r="CD91" s="60">
        <f ca="1">AVERAGE(OFFSET($CC$3,0,0,'Données projet'!$E$12+1,1))-AVERAGE(OFFSET($H$3,0,0,'Données projet'!$E$12+1,1))</f>
        <v>380.16582491288449</v>
      </c>
      <c r="CE91" s="60">
        <f t="shared" si="94"/>
        <v>166.97658184507776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</v>
      </c>
      <c r="CT91" s="13">
        <f>IF('Données projet'!$A$140&gt;35,CT90+CS91-DB90,IF(A91&lt;'Données projet'!$A$140,$CQ$205^A91,IF(A91='Données projet'!$A$140,'Données projet'!$B$140,CT90+CS91-DB90)))</f>
        <v>198</v>
      </c>
      <c r="CU91" s="18">
        <f>CT91*VLOOKUP('Données projet'!$B$13,Paramètres!$A$1:$I$89,3,0)*VLOOKUP('Données projet'!$B$13,Paramètres!$A$1:$I$89,5,0)</f>
        <v>191.50560000000002</v>
      </c>
      <c r="CV91" s="14">
        <f t="shared" si="95"/>
        <v>47.872666570685276</v>
      </c>
      <c r="CW91" s="22">
        <f t="shared" si="67"/>
        <v>416.91714761061024</v>
      </c>
      <c r="CX91" s="60">
        <f t="shared" si="68"/>
        <v>710.25048094394356</v>
      </c>
      <c r="CY91" s="60">
        <f ca="1">AVERAGE(OFFSET($CX$3,0,0,'Données projet'!$E$13+1,1))-AVERAGE(OFFSET($H$3,0,0,'Données projet'!$E$13+1,1))</f>
        <v>345.71694170753534</v>
      </c>
      <c r="CZ91" s="60">
        <f t="shared" si="96"/>
        <v>154.08406475869634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243.21023999999974</v>
      </c>
      <c r="P92" s="14">
        <f t="shared" si="87"/>
        <v>59.129694216846687</v>
      </c>
      <c r="Q92" s="22">
        <f t="shared" si="54"/>
        <v>526.57538542767418</v>
      </c>
      <c r="R92" s="60">
        <f t="shared" si="55"/>
        <v>819.90871876100755</v>
      </c>
      <c r="S92" s="60">
        <f ca="1">AVERAGE(OFFSET($R$3,0,0,'Données projet'!$E$9+1,1))-AVERAGE(OFFSET($H$3,0,0,'Données projet'!$E$9+1,1))</f>
        <v>430.21146937947236</v>
      </c>
      <c r="T92" s="60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</v>
      </c>
      <c r="AI92" s="14">
        <f>IF('Données projet'!$A$62&gt;35,AI91+AH92-AQ91,IF(A92&lt;'Données projet'!$A$62,$AF$205^A92,IF(A92='Données projet'!$A$62,'Données projet'!$B$62,AI91+AH92-AQ91)))</f>
        <v>238.00000000000003</v>
      </c>
      <c r="AJ92" s="14">
        <f>AI92*VLOOKUP('Données projet'!$B$10,Paramètres!$A$1:$I$89,3,0)*VLOOKUP('Données projet'!$B$10,Paramètres!$A$1:$I$89,5,0)</f>
        <v>226.48080000000002</v>
      </c>
      <c r="AK92" s="14">
        <f t="shared" si="89"/>
        <v>55.52106670316202</v>
      </c>
      <c r="AL92" s="22">
        <f t="shared" si="58"/>
        <v>491.15325117467381</v>
      </c>
      <c r="AM92" s="60">
        <f t="shared" si="59"/>
        <v>784.48658450800713</v>
      </c>
      <c r="AN92" s="60">
        <f ca="1">AVERAGE(OFFSET($AM$3,0,0,'Données projet'!$E$10+1,1))-AVERAGE(OFFSET($H$3,0,0,'Données projet'!$E$10+1,1))</f>
        <v>370.04285308422544</v>
      </c>
      <c r="AO92" s="60">
        <f t="shared" si="90"/>
        <v>218.53758068502731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-2.8421709430404007E-13</v>
      </c>
      <c r="BE92" s="14">
        <f>BD92*VLOOKUP('Données projet'!$B$11,Paramètres!$A$1:$I$89,3,0)*VLOOKUP('Données projet'!$B$11,Paramètres!$A$1:$I$89,5,0)</f>
        <v>-1.69961822393816E-13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225.82185458224626</v>
      </c>
      <c r="BJ92" s="60">
        <f t="shared" si="92"/>
        <v>363.02009369315243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32.590827346510636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8.2456914680826294E-6</v>
      </c>
      <c r="BS92" s="24">
        <f t="shared" si="63"/>
        <v>32.590835592202104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</v>
      </c>
      <c r="BY92" s="13">
        <f>IF('Données projet'!$A$114&gt;35,BY91+BX92-CG91,IF(A92&lt;'Données projet'!$A$114,$BV$205^A92,IF(A92='Données projet'!$A$114,'Données projet'!$B$114,BY91+BX92-CG91)))</f>
        <v>202</v>
      </c>
      <c r="BZ92" s="14">
        <f>BY92*VLOOKUP('Données projet'!$B$12,Paramètres!$A$1:$I$89,3,0)*VLOOKUP('Données projet'!$B$12,Paramètres!$A$1:$I$89,5,0)</f>
        <v>217.43280000000001</v>
      </c>
      <c r="CA92" s="14">
        <f t="shared" si="93"/>
        <v>53.556536889714792</v>
      </c>
      <c r="CB92" s="22">
        <f t="shared" si="64"/>
        <v>471.97309508291988</v>
      </c>
      <c r="CC92" s="60">
        <f t="shared" si="65"/>
        <v>765.3064284162532</v>
      </c>
      <c r="CD92" s="60">
        <f ca="1">AVERAGE(OFFSET($CC$3,0,0,'Données projet'!$E$12+1,1))-AVERAGE(OFFSET($H$3,0,0,'Données projet'!$E$12+1,1))</f>
        <v>380.16582491288449</v>
      </c>
      <c r="CE92" s="60">
        <f t="shared" si="94"/>
        <v>166.97658184507776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</v>
      </c>
      <c r="CT92" s="13">
        <f>IF('Données projet'!$A$140&gt;35,CT91+CS92-DB91,IF(A92&lt;'Données projet'!$A$140,$CQ$205^A92,IF(A92='Données projet'!$A$140,'Données projet'!$B$140,CT91+CS92-DB91)))</f>
        <v>202</v>
      </c>
      <c r="CU92" s="18">
        <f>CT92*VLOOKUP('Données projet'!$B$13,Paramètres!$A$1:$I$89,3,0)*VLOOKUP('Données projet'!$B$13,Paramètres!$A$1:$I$89,5,0)</f>
        <v>195.37440000000001</v>
      </c>
      <c r="CV92" s="14">
        <f t="shared" si="95"/>
        <v>48.726220575731652</v>
      </c>
      <c r="CW92" s="22">
        <f t="shared" si="67"/>
        <v>425.14191416939929</v>
      </c>
      <c r="CX92" s="60">
        <f t="shared" si="68"/>
        <v>718.4752475027326</v>
      </c>
      <c r="CY92" s="60">
        <f ca="1">AVERAGE(OFFSET($CX$3,0,0,'Données projet'!$E$13+1,1))-AVERAGE(OFFSET($H$3,0,0,'Données projet'!$E$13+1,1))</f>
        <v>345.71694170753534</v>
      </c>
      <c r="CZ92" s="60">
        <f t="shared" si="96"/>
        <v>154.08406475869634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247.91519999999971</v>
      </c>
      <c r="P93" s="14">
        <f t="shared" si="87"/>
        <v>60.139294964297406</v>
      </c>
      <c r="Q93" s="22">
        <f t="shared" si="54"/>
        <v>536.52824539615074</v>
      </c>
      <c r="R93" s="60">
        <f t="shared" si="55"/>
        <v>829.86157872948411</v>
      </c>
      <c r="S93" s="60">
        <f ca="1">AVERAGE(OFFSET($R$3,0,0,'Données projet'!$E$9+1,1))-AVERAGE(OFFSET($H$3,0,0,'Données projet'!$E$9+1,1))</f>
        <v>430.21146937947236</v>
      </c>
      <c r="T93" s="60">
        <f t="shared" si="88"/>
        <v>231.36959598460686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242</v>
      </c>
      <c r="AG93" s="13">
        <f>VLOOKUP(A93,'Données projet'!$A$61:$I$81,9,0)</f>
        <v>4</v>
      </c>
      <c r="AH93" s="13">
        <f t="array" ref="AH93">INDEX(AG:AG,MIN(IF(ISNUMBER(AG93:AG289),ROW(AG93:AG289),"")))</f>
        <v>4</v>
      </c>
      <c r="AI93" s="14">
        <f>IF('Données projet'!$A$62&gt;35,AI92+AH93-AQ92,IF(A93&lt;'Données projet'!$A$62,$AF$205^A93,IF(A93='Données projet'!$A$62,'Données projet'!$B$62,AI92+AH93-AQ92)))</f>
        <v>242.00000000000003</v>
      </c>
      <c r="AJ93" s="14">
        <f>AI93*VLOOKUP('Données projet'!$B$10,Paramètres!$A$1:$I$89,3,0)*VLOOKUP('Données projet'!$B$10,Paramètres!$A$1:$I$89,5,0)</f>
        <v>230.28720000000001</v>
      </c>
      <c r="AK93" s="14">
        <f t="shared" si="89"/>
        <v>56.344776374959956</v>
      </c>
      <c r="AL93" s="22">
        <f t="shared" si="58"/>
        <v>499.2173588530552</v>
      </c>
      <c r="AM93" s="60">
        <f t="shared" si="59"/>
        <v>792.55069218638846</v>
      </c>
      <c r="AN93" s="60">
        <f ca="1">AVERAGE(OFFSET($AM$3,0,0,'Données projet'!$E$10+1,1))-AVERAGE(OFFSET($H$3,0,0,'Données projet'!$E$10+1,1))</f>
        <v>370.04285308422544</v>
      </c>
      <c r="AO93" s="60">
        <f t="shared" si="90"/>
        <v>218.53758068502731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-2.8421709430404007E-13</v>
      </c>
      <c r="BE93" s="14">
        <f>BD93*VLOOKUP('Données projet'!$B$11,Paramètres!$A$1:$I$89,3,0)*VLOOKUP('Données projet'!$B$11,Paramètres!$A$1:$I$89,5,0)</f>
        <v>-1.69961822393816E-13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225.82185458224626</v>
      </c>
      <c r="BJ93" s="60">
        <f t="shared" si="92"/>
        <v>363.02009369315243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31.951741100687411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5.8305843526532857E-6</v>
      </c>
      <c r="BS93" s="24">
        <f t="shared" si="63"/>
        <v>31.951746931271764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4</v>
      </c>
      <c r="BY93" s="13">
        <f>IF('Données projet'!$A$114&gt;35,BY92+BX93-CG92,IF(A93&lt;'Données projet'!$A$114,$BV$205^A93,IF(A93='Données projet'!$A$114,'Données projet'!$B$114,BY92+BX93-CG92)))</f>
        <v>206</v>
      </c>
      <c r="BZ93" s="14">
        <f>BY93*VLOOKUP('Données projet'!$B$12,Paramètres!$A$1:$I$89,3,0)*VLOOKUP('Données projet'!$B$12,Paramètres!$A$1:$I$89,5,0)</f>
        <v>221.73839999999998</v>
      </c>
      <c r="CA93" s="14">
        <f t="shared" si="93"/>
        <v>54.492545120441747</v>
      </c>
      <c r="CB93" s="22">
        <f t="shared" si="64"/>
        <v>481.1022294181027</v>
      </c>
      <c r="CC93" s="60">
        <f t="shared" si="65"/>
        <v>774.43556275143601</v>
      </c>
      <c r="CD93" s="60">
        <f ca="1">AVERAGE(OFFSET($CC$3,0,0,'Données projet'!$E$12+1,1))-AVERAGE(OFFSET($H$3,0,0,'Données projet'!$E$12+1,1))</f>
        <v>380.16582491288449</v>
      </c>
      <c r="CE93" s="60">
        <f t="shared" si="94"/>
        <v>166.97658184507776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4</v>
      </c>
      <c r="CT93" s="13">
        <f>IF('Données projet'!$A$140&gt;35,CT92+CS93-DB92,IF(A93&lt;'Données projet'!$A$140,$CQ$205^A93,IF(A93='Données projet'!$A$140,'Données projet'!$B$140,CT92+CS93-DB92)))</f>
        <v>206</v>
      </c>
      <c r="CU93" s="18">
        <f>CT93*VLOOKUP('Données projet'!$B$13,Paramètres!$A$1:$I$89,3,0)*VLOOKUP('Données projet'!$B$13,Paramètres!$A$1:$I$89,5,0)</f>
        <v>199.2432</v>
      </c>
      <c r="CV93" s="14">
        <f t="shared" si="95"/>
        <v>49.577809310922277</v>
      </c>
      <c r="CW93" s="22">
        <f t="shared" si="67"/>
        <v>433.36325788318965</v>
      </c>
      <c r="CX93" s="60">
        <f t="shared" si="68"/>
        <v>726.69659121652296</v>
      </c>
      <c r="CY93" s="60">
        <f ca="1">AVERAGE(OFFSET($CX$3,0,0,'Données projet'!$E$13+1,1))-AVERAGE(OFFSET($H$3,0,0,'Données projet'!$E$13+1,1))</f>
        <v>345.71694170753534</v>
      </c>
      <c r="CZ93" s="60">
        <f t="shared" si="96"/>
        <v>154.08406475869634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252.62015999999971</v>
      </c>
      <c r="P94" s="14">
        <f t="shared" si="87"/>
        <v>61.146667772298713</v>
      </c>
      <c r="Q94" s="22">
        <f t="shared" si="54"/>
        <v>546.477225036753</v>
      </c>
      <c r="R94" s="60">
        <f t="shared" si="55"/>
        <v>839.81055837008626</v>
      </c>
      <c r="S94" s="60">
        <f ca="1">AVERAGE(OFFSET($R$3,0,0,'Données projet'!$E$9+1,1))-AVERAGE(OFFSET($H$3,0,0,'Données projet'!$E$9+1,1))</f>
        <v>430.21146937947236</v>
      </c>
      <c r="T94" s="60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</v>
      </c>
      <c r="AI94" s="14">
        <f>IF('Données projet'!$A$62&gt;35,AI93+AH94-AQ93,IF(A94&lt;'Données projet'!$A$62,$AF$205^A94,IF(A94='Données projet'!$A$62,'Données projet'!$B$62,AI93+AH94-AQ93)))</f>
        <v>246.00000000000003</v>
      </c>
      <c r="AJ94" s="14">
        <f>AI94*VLOOKUP('Données projet'!$B$10,Paramètres!$A$1:$I$89,3,0)*VLOOKUP('Données projet'!$B$10,Paramètres!$A$1:$I$89,5,0)</f>
        <v>234.09360000000001</v>
      </c>
      <c r="AK94" s="14">
        <f t="shared" si="89"/>
        <v>57.166902703920208</v>
      </c>
      <c r="AL94" s="22">
        <f t="shared" si="58"/>
        <v>507.27870887599437</v>
      </c>
      <c r="AM94" s="60">
        <f t="shared" si="59"/>
        <v>800.61204220932768</v>
      </c>
      <c r="AN94" s="60">
        <f ca="1">AVERAGE(OFFSET($AM$3,0,0,'Données projet'!$E$10+1,1))-AVERAGE(OFFSET($H$3,0,0,'Données projet'!$E$10+1,1))</f>
        <v>370.04285308422544</v>
      </c>
      <c r="AO94" s="60">
        <f t="shared" si="90"/>
        <v>218.53758068502731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-2.8421709430404007E-13</v>
      </c>
      <c r="BE94" s="14">
        <f>BD94*VLOOKUP('Données projet'!$B$11,Paramètres!$A$1:$I$89,3,0)*VLOOKUP('Données projet'!$B$11,Paramètres!$A$1:$I$89,5,0)</f>
        <v>-1.69961822393816E-13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225.82185458224626</v>
      </c>
      <c r="BJ94" s="60">
        <f t="shared" si="92"/>
        <v>363.02009369315243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31.325186946340658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4.1228457340413147E-6</v>
      </c>
      <c r="BS94" s="24">
        <f t="shared" si="63"/>
        <v>31.325191069186392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</v>
      </c>
      <c r="BY94" s="13">
        <f>IF('Données projet'!$A$114&gt;35,BY93+BX94-CG93,IF(A94&lt;'Données projet'!$A$114,$BV$205^A94,IF(A94='Données projet'!$A$114,'Données projet'!$B$114,BY93+BX94-CG93)))</f>
        <v>210</v>
      </c>
      <c r="BZ94" s="14">
        <f>BY94*VLOOKUP('Données projet'!$B$12,Paramètres!$A$1:$I$89,3,0)*VLOOKUP('Données projet'!$B$12,Paramètres!$A$1:$I$89,5,0)</f>
        <v>226.04399999999998</v>
      </c>
      <c r="CA94" s="14">
        <f t="shared" si="93"/>
        <v>55.426440039423504</v>
      </c>
      <c r="CB94" s="22">
        <f t="shared" si="64"/>
        <v>490.22768306866254</v>
      </c>
      <c r="CC94" s="60">
        <f t="shared" si="65"/>
        <v>783.56101640199586</v>
      </c>
      <c r="CD94" s="60">
        <f ca="1">AVERAGE(OFFSET($CC$3,0,0,'Données projet'!$E$12+1,1))-AVERAGE(OFFSET($H$3,0,0,'Données projet'!$E$12+1,1))</f>
        <v>380.16582491288449</v>
      </c>
      <c r="CE94" s="60">
        <f t="shared" si="94"/>
        <v>166.97658184507776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</v>
      </c>
      <c r="CT94" s="13">
        <f>IF('Données projet'!$A$140&gt;35,CT93+CS94-DB93,IF(A94&lt;'Données projet'!$A$140,$CQ$205^A94,IF(A94='Données projet'!$A$140,'Données projet'!$B$140,CT93+CS94-DB93)))</f>
        <v>210</v>
      </c>
      <c r="CU94" s="18">
        <f>CT94*VLOOKUP('Données projet'!$B$13,Paramètres!$A$1:$I$89,3,0)*VLOOKUP('Données projet'!$B$13,Paramètres!$A$1:$I$89,5,0)</f>
        <v>203.11199999999999</v>
      </c>
      <c r="CV94" s="14">
        <f t="shared" si="95"/>
        <v>50.427475336015782</v>
      </c>
      <c r="CW94" s="22">
        <f t="shared" si="67"/>
        <v>441.5812528768941</v>
      </c>
      <c r="CX94" s="60">
        <f t="shared" si="68"/>
        <v>734.91458621022741</v>
      </c>
      <c r="CY94" s="60">
        <f ca="1">AVERAGE(OFFSET($CX$3,0,0,'Données projet'!$E$13+1,1))-AVERAGE(OFFSET($H$3,0,0,'Données projet'!$E$13+1,1))</f>
        <v>345.71694170753534</v>
      </c>
      <c r="CZ94" s="60">
        <f t="shared" si="96"/>
        <v>154.08406475869634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257.32511999999969</v>
      </c>
      <c r="P95" s="14">
        <f t="shared" si="87"/>
        <v>62.151858920612597</v>
      </c>
      <c r="Q95" s="22">
        <f t="shared" si="54"/>
        <v>556.42240495339968</v>
      </c>
      <c r="R95" s="60">
        <f t="shared" si="55"/>
        <v>849.75573828673305</v>
      </c>
      <c r="S95" s="60">
        <f ca="1">AVERAGE(OFFSET($R$3,0,0,'Données projet'!$E$9+1,1))-AVERAGE(OFFSET($H$3,0,0,'Données projet'!$E$9+1,1))</f>
        <v>430.21146937947236</v>
      </c>
      <c r="T95" s="60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</v>
      </c>
      <c r="AI95" s="14">
        <f>IF('Données projet'!$A$62&gt;35,AI94+AH95-AQ94,IF(A95&lt;'Données projet'!$A$62,$AF$205^A95,IF(A95='Données projet'!$A$62,'Données projet'!$B$62,AI94+AH95-AQ94)))</f>
        <v>250.00000000000003</v>
      </c>
      <c r="AJ95" s="14">
        <f>AI95*VLOOKUP('Données projet'!$B$10,Paramètres!$A$1:$I$89,3,0)*VLOOKUP('Données projet'!$B$10,Paramètres!$A$1:$I$89,5,0)</f>
        <v>237.9</v>
      </c>
      <c r="AK95" s="14">
        <f t="shared" si="89"/>
        <v>57.987474407587428</v>
      </c>
      <c r="AL95" s="22">
        <f t="shared" si="58"/>
        <v>515.33735125988142</v>
      </c>
      <c r="AM95" s="60">
        <f t="shared" si="59"/>
        <v>808.67068459321467</v>
      </c>
      <c r="AN95" s="60">
        <f ca="1">AVERAGE(OFFSET($AM$3,0,0,'Données projet'!$E$10+1,1))-AVERAGE(OFFSET($H$3,0,0,'Données projet'!$E$10+1,1))</f>
        <v>370.04285308422544</v>
      </c>
      <c r="AO95" s="60">
        <f t="shared" si="90"/>
        <v>218.53758068502731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-2.8421709430404007E-13</v>
      </c>
      <c r="BE95" s="14">
        <f>BD95*VLOOKUP('Données projet'!$B$11,Paramètres!$A$1:$I$89,3,0)*VLOOKUP('Données projet'!$B$11,Paramètres!$A$1:$I$89,5,0)</f>
        <v>-1.69961822393816E-13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225.82185458224626</v>
      </c>
      <c r="BJ95" s="60">
        <f t="shared" si="92"/>
        <v>363.02009369315243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30.710919136800346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2.9152921763266429E-6</v>
      </c>
      <c r="BS95" s="24">
        <f t="shared" si="63"/>
        <v>30.710922052092521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</v>
      </c>
      <c r="BY95" s="13">
        <f>IF('Données projet'!$A$114&gt;35,BY94+BX95-CG94,IF(A95&lt;'Données projet'!$A$114,$BV$205^A95,IF(A95='Données projet'!$A$114,'Données projet'!$B$114,BY94+BX95-CG94)))</f>
        <v>214</v>
      </c>
      <c r="BZ95" s="14">
        <f>BY95*VLOOKUP('Données projet'!$B$12,Paramètres!$A$1:$I$89,3,0)*VLOOKUP('Données projet'!$B$12,Paramètres!$A$1:$I$89,5,0)</f>
        <v>230.34960000000001</v>
      </c>
      <c r="CA95" s="14">
        <f t="shared" si="93"/>
        <v>56.35826654142631</v>
      </c>
      <c r="CB95" s="22">
        <f t="shared" si="64"/>
        <v>499.34953422631753</v>
      </c>
      <c r="CC95" s="60">
        <f t="shared" si="65"/>
        <v>792.68286755965084</v>
      </c>
      <c r="CD95" s="60">
        <f ca="1">AVERAGE(OFFSET($CC$3,0,0,'Données projet'!$E$12+1,1))-AVERAGE(OFFSET($H$3,0,0,'Données projet'!$E$12+1,1))</f>
        <v>380.16582491288449</v>
      </c>
      <c r="CE95" s="60">
        <f t="shared" si="94"/>
        <v>166.97658184507776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</v>
      </c>
      <c r="CT95" s="13">
        <f>IF('Données projet'!$A$140&gt;35,CT94+CS95-DB94,IF(A95&lt;'Données projet'!$A$140,$CQ$205^A95,IF(A95='Données projet'!$A$140,'Données projet'!$B$140,CT94+CS95-DB94)))</f>
        <v>214</v>
      </c>
      <c r="CU95" s="18">
        <f>CT95*VLOOKUP('Données projet'!$B$13,Paramètres!$A$1:$I$89,3,0)*VLOOKUP('Données projet'!$B$13,Paramètres!$A$1:$I$89,5,0)</f>
        <v>206.98080000000002</v>
      </c>
      <c r="CV95" s="14">
        <f t="shared" si="95"/>
        <v>51.275259496675787</v>
      </c>
      <c r="CW95" s="22">
        <f t="shared" si="67"/>
        <v>449.79597029004367</v>
      </c>
      <c r="CX95" s="60">
        <f t="shared" si="68"/>
        <v>743.12930362337693</v>
      </c>
      <c r="CY95" s="60">
        <f ca="1">AVERAGE(OFFSET($CX$3,0,0,'Données projet'!$E$13+1,1))-AVERAGE(OFFSET($H$3,0,0,'Données projet'!$E$13+1,1))</f>
        <v>345.71694170753534</v>
      </c>
      <c r="CZ95" s="60">
        <f t="shared" si="96"/>
        <v>154.08406475869634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262.03007999999966</v>
      </c>
      <c r="P96" s="14">
        <f t="shared" si="87"/>
        <v>63.154912899742527</v>
      </c>
      <c r="Q96" s="22">
        <f t="shared" si="54"/>
        <v>566.36386263371753</v>
      </c>
      <c r="R96" s="60">
        <f t="shared" si="55"/>
        <v>859.6971959670509</v>
      </c>
      <c r="S96" s="60">
        <f ca="1">AVERAGE(OFFSET($R$3,0,0,'Données projet'!$E$9+1,1))-AVERAGE(OFFSET($H$3,0,0,'Données projet'!$E$9+1,1))</f>
        <v>430.21146937947236</v>
      </c>
      <c r="T96" s="60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</v>
      </c>
      <c r="AI96" s="14">
        <f>IF('Données projet'!$A$62&gt;35,AI95+AH96-AQ95,IF(A96&lt;'Données projet'!$A$62,$AF$205^A96,IF(A96='Données projet'!$A$62,'Données projet'!$B$62,AI95+AH96-AQ95)))</f>
        <v>254.00000000000003</v>
      </c>
      <c r="AJ96" s="14">
        <f>AI96*VLOOKUP('Données projet'!$B$10,Paramètres!$A$1:$I$89,3,0)*VLOOKUP('Données projet'!$B$10,Paramètres!$A$1:$I$89,5,0)</f>
        <v>241.70640000000006</v>
      </c>
      <c r="AK96" s="14">
        <f t="shared" si="89"/>
        <v>58.806519231842536</v>
      </c>
      <c r="AL96" s="22">
        <f t="shared" si="58"/>
        <v>523.39333432879255</v>
      </c>
      <c r="AM96" s="60">
        <f t="shared" si="59"/>
        <v>816.72666766212592</v>
      </c>
      <c r="AN96" s="60">
        <f ca="1">AVERAGE(OFFSET($AM$3,0,0,'Données projet'!$E$10+1,1))-AVERAGE(OFFSET($H$3,0,0,'Données projet'!$E$10+1,1))</f>
        <v>370.04285308422544</v>
      </c>
      <c r="AO96" s="60">
        <f t="shared" si="90"/>
        <v>218.53758068502731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-2.8421709430404007E-13</v>
      </c>
      <c r="BE96" s="14">
        <f>BD96*VLOOKUP('Données projet'!$B$11,Paramètres!$A$1:$I$89,3,0)*VLOOKUP('Données projet'!$B$11,Paramètres!$A$1:$I$89,5,0)</f>
        <v>-1.69961822393816E-13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225.82185458224626</v>
      </c>
      <c r="BJ96" s="60">
        <f t="shared" si="92"/>
        <v>363.02009369315243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30.108696744338751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2.0614228670206573E-6</v>
      </c>
      <c r="BS96" s="24">
        <f t="shared" si="63"/>
        <v>30.108698805761616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</v>
      </c>
      <c r="BY96" s="13">
        <f>IF('Données projet'!$A$114&gt;35,BY95+BX96-CG95,IF(A96&lt;'Données projet'!$A$114,$BV$205^A96,IF(A96='Données projet'!$A$114,'Données projet'!$B$114,BY95+BX96-CG95)))</f>
        <v>218</v>
      </c>
      <c r="BZ96" s="14">
        <f>BY96*VLOOKUP('Données projet'!$B$12,Paramètres!$A$1:$I$89,3,0)*VLOOKUP('Données projet'!$B$12,Paramètres!$A$1:$I$89,5,0)</f>
        <v>234.65519999999998</v>
      </c>
      <c r="CA96" s="14">
        <f t="shared" si="93"/>
        <v>57.288067746850999</v>
      </c>
      <c r="CB96" s="22">
        <f t="shared" si="64"/>
        <v>508.46785799243213</v>
      </c>
      <c r="CC96" s="60">
        <f t="shared" si="65"/>
        <v>801.80119132576544</v>
      </c>
      <c r="CD96" s="60">
        <f ca="1">AVERAGE(OFFSET($CC$3,0,0,'Données projet'!$E$12+1,1))-AVERAGE(OFFSET($H$3,0,0,'Données projet'!$E$12+1,1))</f>
        <v>380.16582491288449</v>
      </c>
      <c r="CE96" s="60">
        <f t="shared" si="94"/>
        <v>166.97658184507776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</v>
      </c>
      <c r="CT96" s="13">
        <f>IF('Données projet'!$A$140&gt;35,CT95+CS96-DB95,IF(A96&lt;'Données projet'!$A$140,$CQ$205^A96,IF(A96='Données projet'!$A$140,'Données projet'!$B$140,CT95+CS96-DB95)))</f>
        <v>218</v>
      </c>
      <c r="CU96" s="18">
        <f>CT96*VLOOKUP('Données projet'!$B$13,Paramètres!$A$1:$I$89,3,0)*VLOOKUP('Données projet'!$B$13,Paramètres!$A$1:$I$89,5,0)</f>
        <v>210.84960000000001</v>
      </c>
      <c r="CV96" s="14">
        <f t="shared" si="95"/>
        <v>52.121201024231922</v>
      </c>
      <c r="CW96" s="22">
        <f t="shared" si="67"/>
        <v>458.00747845053729</v>
      </c>
      <c r="CX96" s="60">
        <f t="shared" si="68"/>
        <v>751.34081178387055</v>
      </c>
      <c r="CY96" s="60">
        <f ca="1">AVERAGE(OFFSET($CX$3,0,0,'Données projet'!$E$13+1,1))-AVERAGE(OFFSET($H$3,0,0,'Données projet'!$E$13+1,1))</f>
        <v>345.71694170753534</v>
      </c>
      <c r="CZ96" s="60">
        <f t="shared" si="96"/>
        <v>154.08406475869634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266.73503999999969</v>
      </c>
      <c r="P97" s="14">
        <f t="shared" si="87"/>
        <v>64.155872510973168</v>
      </c>
      <c r="Q97" s="22">
        <f t="shared" si="54"/>
        <v>576.30167262327768</v>
      </c>
      <c r="R97" s="60">
        <f t="shared" si="55"/>
        <v>869.63500595661094</v>
      </c>
      <c r="S97" s="60">
        <f ca="1">AVERAGE(OFFSET($R$3,0,0,'Données projet'!$E$9+1,1))-AVERAGE(OFFSET($H$3,0,0,'Données projet'!$E$9+1,1))</f>
        <v>430.21146937947236</v>
      </c>
      <c r="T97" s="60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</v>
      </c>
      <c r="AI97" s="14">
        <f>IF('Données projet'!$A$62&gt;35,AI96+AH97-AQ96,IF(A97&lt;'Données projet'!$A$62,$AF$205^A97,IF(A97='Données projet'!$A$62,'Données projet'!$B$62,AI96+AH97-AQ96)))</f>
        <v>258</v>
      </c>
      <c r="AJ97" s="14">
        <f>AI97*VLOOKUP('Données projet'!$B$10,Paramètres!$A$1:$I$89,3,0)*VLOOKUP('Données projet'!$B$10,Paramètres!$A$1:$I$89,5,0)</f>
        <v>245.5128</v>
      </c>
      <c r="AK97" s="14">
        <f t="shared" si="89"/>
        <v>59.624063998553147</v>
      </c>
      <c r="AL97" s="22">
        <f t="shared" si="58"/>
        <v>531.44670479748004</v>
      </c>
      <c r="AM97" s="60">
        <f t="shared" si="59"/>
        <v>824.78003813081341</v>
      </c>
      <c r="AN97" s="60">
        <f ca="1">AVERAGE(OFFSET($AM$3,0,0,'Données projet'!$E$10+1,1))-AVERAGE(OFFSET($H$3,0,0,'Données projet'!$E$10+1,1))</f>
        <v>370.04285308422544</v>
      </c>
      <c r="AO97" s="60">
        <f t="shared" si="90"/>
        <v>218.53758068502731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-2.8421709430404007E-13</v>
      </c>
      <c r="BE97" s="14">
        <f>BD97*VLOOKUP('Données projet'!$B$11,Paramètres!$A$1:$I$89,3,0)*VLOOKUP('Données projet'!$B$11,Paramètres!$A$1:$I$89,5,0)</f>
        <v>-1.69961822393816E-13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225.82185458224626</v>
      </c>
      <c r="BJ97" s="60">
        <f t="shared" si="92"/>
        <v>363.02009369315243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29.51828356567394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1.4576460881633214E-6</v>
      </c>
      <c r="BS97" s="24">
        <f t="shared" si="63"/>
        <v>29.518285023320029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</v>
      </c>
      <c r="BY97" s="13">
        <f>IF('Données projet'!$A$114&gt;35,BY96+BX97-CG96,IF(A97&lt;'Données projet'!$A$114,$BV$205^A97,IF(A97='Données projet'!$A$114,'Données projet'!$B$114,BY96+BX97-CG96)))</f>
        <v>222</v>
      </c>
      <c r="BZ97" s="14">
        <f>BY97*VLOOKUP('Données projet'!$B$12,Paramètres!$A$1:$I$89,3,0)*VLOOKUP('Données projet'!$B$12,Paramètres!$A$1:$I$89,5,0)</f>
        <v>238.96079999999998</v>
      </c>
      <c r="CA97" s="14">
        <f t="shared" si="93"/>
        <v>58.215885103108349</v>
      </c>
      <c r="CB97" s="22">
        <f t="shared" si="64"/>
        <v>517.58272655458029</v>
      </c>
      <c r="CC97" s="60">
        <f t="shared" si="65"/>
        <v>810.91605988791366</v>
      </c>
      <c r="CD97" s="60">
        <f ca="1">AVERAGE(OFFSET($CC$3,0,0,'Données projet'!$E$12+1,1))-AVERAGE(OFFSET($H$3,0,0,'Données projet'!$E$12+1,1))</f>
        <v>380.16582491288449</v>
      </c>
      <c r="CE97" s="60">
        <f t="shared" si="94"/>
        <v>166.97658184507776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</v>
      </c>
      <c r="CT97" s="13">
        <f>IF('Données projet'!$A$140&gt;35,CT96+CS97-DB96,IF(A97&lt;'Données projet'!$A$140,$CQ$205^A97,IF(A97='Données projet'!$A$140,'Données projet'!$B$140,CT96+CS97-DB96)))</f>
        <v>222</v>
      </c>
      <c r="CU97" s="18">
        <f>CT97*VLOOKUP('Données projet'!$B$13,Paramètres!$A$1:$I$89,3,0)*VLOOKUP('Données projet'!$B$13,Paramètres!$A$1:$I$89,5,0)</f>
        <v>214.71839999999997</v>
      </c>
      <c r="CV97" s="14">
        <f t="shared" si="95"/>
        <v>52.965337627912746</v>
      </c>
      <c r="CW97" s="22">
        <f t="shared" si="67"/>
        <v>466.2158430352813</v>
      </c>
      <c r="CX97" s="60">
        <f t="shared" si="68"/>
        <v>759.54917636861455</v>
      </c>
      <c r="CY97" s="60">
        <f ca="1">AVERAGE(OFFSET($CX$3,0,0,'Données projet'!$E$13+1,1))-AVERAGE(OFFSET($H$3,0,0,'Données projet'!$E$13+1,1))</f>
        <v>345.71694170753534</v>
      </c>
      <c r="CZ97" s="60">
        <f t="shared" si="96"/>
        <v>154.08406475869634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271.43999999999971</v>
      </c>
      <c r="P98" s="14">
        <f t="shared" si="87"/>
        <v>65.154778959151116</v>
      </c>
      <c r="Q98" s="22">
        <f t="shared" si="54"/>
        <v>586.23590668718782</v>
      </c>
      <c r="R98" s="60">
        <f t="shared" si="55"/>
        <v>879.56924002052119</v>
      </c>
      <c r="S98" s="60">
        <f ca="1">AVERAGE(OFFSET($R$3,0,0,'Données projet'!$E$9+1,1))-AVERAGE(OFFSET($H$3,0,0,'Données projet'!$E$9+1,1))</f>
        <v>430.21146937947236</v>
      </c>
      <c r="T98" s="60">
        <f t="shared" si="88"/>
        <v>231.36959598460686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262</v>
      </c>
      <c r="AG98" s="13">
        <f>VLOOKUP(A98,'Données projet'!$A$61:$I$81,9,0)</f>
        <v>4</v>
      </c>
      <c r="AH98" s="13">
        <f t="array" ref="AH98">INDEX(AG:AG,MIN(IF(ISNUMBER(AG98:AG294),ROW(AG98:AG294),"")))</f>
        <v>4</v>
      </c>
      <c r="AI98" s="14">
        <f>IF('Données projet'!$A$62&gt;35,AI97+AH98-AQ97,IF(A98&lt;'Données projet'!$A$62,$AF$205^A98,IF(A98='Données projet'!$A$62,'Données projet'!$B$62,AI97+AH98-AQ97)))</f>
        <v>262</v>
      </c>
      <c r="AJ98" s="14">
        <f>AI98*VLOOKUP('Données projet'!$B$10,Paramètres!$A$1:$I$89,3,0)*VLOOKUP('Données projet'!$B$10,Paramètres!$A$1:$I$89,5,0)</f>
        <v>249.3192</v>
      </c>
      <c r="AK98" s="14">
        <f t="shared" si="89"/>
        <v>60.440134650185499</v>
      </c>
      <c r="AL98" s="22">
        <f t="shared" si="58"/>
        <v>539.49750784907303</v>
      </c>
      <c r="AM98" s="60">
        <f t="shared" si="59"/>
        <v>832.8308411824064</v>
      </c>
      <c r="AN98" s="60">
        <f ca="1">AVERAGE(OFFSET($AM$3,0,0,'Données projet'!$E$10+1,1))-AVERAGE(OFFSET($H$3,0,0,'Données projet'!$E$10+1,1))</f>
        <v>370.04285308422544</v>
      </c>
      <c r="AO98" s="60">
        <f t="shared" si="90"/>
        <v>218.53758068502731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26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-2.8421709430404007E-13</v>
      </c>
      <c r="BE98" s="14">
        <f>BD98*VLOOKUP('Données projet'!$B$11,Paramètres!$A$1:$I$89,3,0)*VLOOKUP('Données projet'!$B$11,Paramètres!$A$1:$I$89,5,0)</f>
        <v>-1.69961822393816E-13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225.82185458224626</v>
      </c>
      <c r="BJ98" s="60">
        <f t="shared" si="92"/>
        <v>363.02009369315243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28.939448029326265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1.0307114335103287E-6</v>
      </c>
      <c r="BS98" s="24">
        <f t="shared" si="63"/>
        <v>28.939449060037699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226</v>
      </c>
      <c r="BW98" s="13">
        <f>VLOOKUP(A98,'Données projet'!$A$113:$I$133,9,0)</f>
        <v>4</v>
      </c>
      <c r="BX98" s="13">
        <f t="array" ref="BX98">INDEX(BW:BW,MIN(IF(ISNUMBER(BW98:BW294),ROW(BW98:BW294),"")))</f>
        <v>4</v>
      </c>
      <c r="BY98" s="13">
        <f>IF('Données projet'!$A$114&gt;35,BY97+BX98-CG97,IF(A98&lt;'Données projet'!$A$114,$BV$205^A98,IF(A98='Données projet'!$A$114,'Données projet'!$B$114,BY97+BX98-CG97)))</f>
        <v>226</v>
      </c>
      <c r="BZ98" s="14">
        <f>BY98*VLOOKUP('Données projet'!$B$12,Paramètres!$A$1:$I$89,3,0)*VLOOKUP('Données projet'!$B$12,Paramètres!$A$1:$I$89,5,0)</f>
        <v>243.2664</v>
      </c>
      <c r="CA98" s="14">
        <f t="shared" si="93"/>
        <v>59.141758478481812</v>
      </c>
      <c r="CB98" s="22">
        <f t="shared" si="64"/>
        <v>526.69420935002245</v>
      </c>
      <c r="CC98" s="60">
        <f t="shared" si="65"/>
        <v>820.0275426833557</v>
      </c>
      <c r="CD98" s="60">
        <f ca="1">AVERAGE(OFFSET($CC$3,0,0,'Données projet'!$E$12+1,1))-AVERAGE(OFFSET($H$3,0,0,'Données projet'!$E$12+1,1))</f>
        <v>380.16582491288449</v>
      </c>
      <c r="CE98" s="60">
        <f t="shared" si="94"/>
        <v>166.97658184507776</v>
      </c>
      <c r="CF98" s="16">
        <f>IF(ISNA(VLOOKUP(A98,'Données projet'!$A$113:$I$133,3,0)),0,VLOOKUP(A98,'Données projet'!$A$113:$I$133,3,0))</f>
        <v>7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226</v>
      </c>
      <c r="CR98" s="13">
        <f>VLOOKUP(A98,'Données projet'!$A$139:$I$159,9,0)</f>
        <v>4</v>
      </c>
      <c r="CS98" s="13">
        <f t="array" ref="CS98">INDEX(CR:CR,MIN(IF(ISNUMBER(CR98:CR294),ROW(CR98:CR294),"")))</f>
        <v>4</v>
      </c>
      <c r="CT98" s="13">
        <f>IF('Données projet'!$A$140&gt;35,CT97+CS98-DB97,IF(A98&lt;'Données projet'!$A$140,$CQ$205^A98,IF(A98='Données projet'!$A$140,'Données projet'!$B$140,CT97+CS98-DB97)))</f>
        <v>226</v>
      </c>
      <c r="CU98" s="18">
        <f>CT98*VLOOKUP('Données projet'!$B$13,Paramètres!$A$1:$I$89,3,0)*VLOOKUP('Données projet'!$B$13,Paramètres!$A$1:$I$89,5,0)</f>
        <v>218.58720000000002</v>
      </c>
      <c r="CV98" s="14">
        <f t="shared" si="95"/>
        <v>53.807705580242171</v>
      </c>
      <c r="CW98" s="22">
        <f t="shared" si="67"/>
        <v>474.42112721892181</v>
      </c>
      <c r="CX98" s="60">
        <f t="shared" si="68"/>
        <v>767.75446055225507</v>
      </c>
      <c r="CY98" s="60">
        <f ca="1">AVERAGE(OFFSET($CX$3,0,0,'Données projet'!$E$13+1,1))-AVERAGE(OFFSET($H$3,0,0,'Données projet'!$E$13+1,1))</f>
        <v>345.71694170753534</v>
      </c>
      <c r="CZ98" s="60">
        <f t="shared" si="96"/>
        <v>154.08406475869634</v>
      </c>
      <c r="DA98" s="16">
        <f>IF(ISNA(VLOOKUP(A98,'Données projet'!$A$139:$I$159,3,0)),0,VLOOKUP(A98,'Données projet'!$A$139:$I$159,3,0))</f>
        <v>7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237.69095999999968</v>
      </c>
      <c r="P99" s="14">
        <f t="shared" si="87"/>
        <v>57.942450096949344</v>
      </c>
      <c r="Q99" s="22">
        <f t="shared" ref="Q99:Q130" si="107">(O99+P99)*0.475*44/12</f>
        <v>514.89485591885284</v>
      </c>
      <c r="R99" s="60">
        <f t="shared" si="55"/>
        <v>808.22818925218621</v>
      </c>
      <c r="S99" s="60">
        <f ca="1">AVERAGE(OFFSET($R$3,0,0,'Données projet'!$E$9+1,1))-AVERAGE(OFFSET($H$3,0,0,'Données projet'!$E$9+1,1))</f>
        <v>430.21146937947236</v>
      </c>
      <c r="T99" s="60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3.8</v>
      </c>
      <c r="AI99" s="14">
        <f>IF('Données projet'!$A$62&gt;35,AI98+AH99-AQ98,IF(A99&lt;'Données projet'!$A$62,$AF$205^A99,IF(A99='Données projet'!$A$62,'Données projet'!$B$62,AI98+AH99-AQ98)))</f>
        <v>239.8</v>
      </c>
      <c r="AJ99" s="14">
        <f>AI99*VLOOKUP('Données projet'!$B$10,Paramètres!$A$1:$I$89,3,0)*VLOOKUP('Données projet'!$B$10,Paramètres!$A$1:$I$89,5,0)</f>
        <v>228.19368</v>
      </c>
      <c r="AK99" s="14">
        <f t="shared" si="89"/>
        <v>55.891933871330593</v>
      </c>
      <c r="AL99" s="22">
        <f t="shared" si="58"/>
        <v>494.78244415923405</v>
      </c>
      <c r="AM99" s="60">
        <f t="shared" si="59"/>
        <v>788.1157774925673</v>
      </c>
      <c r="AN99" s="60">
        <f ca="1">AVERAGE(OFFSET($AM$3,0,0,'Données projet'!$E$10+1,1))-AVERAGE(OFFSET($H$3,0,0,'Données projet'!$E$10+1,1))</f>
        <v>370.04285308422544</v>
      </c>
      <c r="AO99" s="60">
        <f t="shared" si="90"/>
        <v>218.53758068502731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-2.8421709430404007E-13</v>
      </c>
      <c r="BE99" s="14">
        <f>BD99*VLOOKUP('Données projet'!$B$11,Paramètres!$A$1:$I$89,3,0)*VLOOKUP('Données projet'!$B$11,Paramètres!$A$1:$I$89,5,0)</f>
        <v>-1.69961822393816E-13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225.82185458224626</v>
      </c>
      <c r="BJ99" s="60">
        <f t="shared" si="92"/>
        <v>363.02009369315243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28.371963104791551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7.2882304408166071E-7</v>
      </c>
      <c r="BS99" s="24">
        <f t="shared" si="63"/>
        <v>28.371963833614593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3.4</v>
      </c>
      <c r="BY99" s="13">
        <f>IF('Données projet'!$A$114&gt;35,BY98+BX99-CG98,IF(A99&lt;'Données projet'!$A$114,$BV$205^A99,IF(A99='Données projet'!$A$114,'Données projet'!$B$114,BY98+BX99-CG98)))</f>
        <v>201.4</v>
      </c>
      <c r="BZ99" s="14">
        <f>BY99*VLOOKUP('Données projet'!$B$12,Paramètres!$A$1:$I$89,3,0)*VLOOKUP('Données projet'!$B$12,Paramètres!$A$1:$I$89,5,0)</f>
        <v>216.78695999999997</v>
      </c>
      <c r="CA99" s="14">
        <f t="shared" si="93"/>
        <v>53.415950516159356</v>
      </c>
      <c r="CB99" s="22">
        <f t="shared" si="64"/>
        <v>470.60340248231086</v>
      </c>
      <c r="CC99" s="60">
        <f t="shared" si="65"/>
        <v>763.93673581564417</v>
      </c>
      <c r="CD99" s="60">
        <f ca="1">AVERAGE(OFFSET($CC$3,0,0,'Données projet'!$E$12+1,1))-AVERAGE(OFFSET($H$3,0,0,'Données projet'!$E$12+1,1))</f>
        <v>380.16582491288449</v>
      </c>
      <c r="CE99" s="60">
        <f t="shared" si="94"/>
        <v>166.97658184507776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3.4</v>
      </c>
      <c r="CT99" s="13">
        <f>IF('Données projet'!$A$140&gt;35,CT98+CS99-DB98,IF(A99&lt;'Données projet'!$A$140,$CQ$205^A99,IF(A99='Données projet'!$A$140,'Données projet'!$B$140,CT98+CS99-DB98)))</f>
        <v>201.4</v>
      </c>
      <c r="CU99" s="18">
        <f>CT99*VLOOKUP('Données projet'!$B$13,Paramètres!$A$1:$I$89,3,0)*VLOOKUP('Données projet'!$B$13,Paramètres!$A$1:$I$89,5,0)</f>
        <v>194.79408000000001</v>
      </c>
      <c r="CV99" s="14">
        <f t="shared" si="95"/>
        <v>48.598313824368873</v>
      </c>
      <c r="CW99" s="22">
        <f t="shared" si="67"/>
        <v>423.9084192441091</v>
      </c>
      <c r="CX99" s="60">
        <f t="shared" si="68"/>
        <v>717.24175257744241</v>
      </c>
      <c r="CY99" s="60">
        <f ca="1">AVERAGE(OFFSET($CX$3,0,0,'Données projet'!$E$13+1,1))-AVERAGE(OFFSET($H$3,0,0,'Données projet'!$E$13+1,1))</f>
        <v>345.71694170753534</v>
      </c>
      <c r="CZ99" s="60">
        <f t="shared" si="96"/>
        <v>154.08406475869634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241.94351999999967</v>
      </c>
      <c r="P100" s="14">
        <f t="shared" si="87"/>
        <v>58.857491789961337</v>
      </c>
      <c r="Q100" s="22">
        <f t="shared" si="107"/>
        <v>523.89509553418213</v>
      </c>
      <c r="R100" s="60">
        <f t="shared" si="55"/>
        <v>817.2284288675155</v>
      </c>
      <c r="S100" s="60">
        <f ca="1">AVERAGE(OFFSET($R$3,0,0,'Données projet'!$E$9+1,1))-AVERAGE(OFFSET($H$3,0,0,'Données projet'!$E$9+1,1))</f>
        <v>430.21146937947236</v>
      </c>
      <c r="T100" s="60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3.8</v>
      </c>
      <c r="AI100" s="14">
        <f>IF('Données projet'!$A$62&gt;35,AI99+AH100-AQ99,IF(A100&lt;'Données projet'!$A$62,$AF$205^A100,IF(A100='Données projet'!$A$62,'Données projet'!$B$62,AI99+AH100-AQ99)))</f>
        <v>243.60000000000002</v>
      </c>
      <c r="AJ100" s="14">
        <f>AI100*VLOOKUP('Données projet'!$B$10,Paramètres!$A$1:$I$89,3,0)*VLOOKUP('Données projet'!$B$10,Paramètres!$A$1:$I$89,5,0)</f>
        <v>231.80976000000001</v>
      </c>
      <c r="AK100" s="14">
        <f t="shared" si="89"/>
        <v>56.673815277159378</v>
      </c>
      <c r="AL100" s="22">
        <f t="shared" si="58"/>
        <v>502.44222694105264</v>
      </c>
      <c r="AM100" s="60">
        <f t="shared" si="59"/>
        <v>795.77556027438595</v>
      </c>
      <c r="AN100" s="60">
        <f ca="1">AVERAGE(OFFSET($AM$3,0,0,'Données projet'!$E$10+1,1))-AVERAGE(OFFSET($H$3,0,0,'Données projet'!$E$10+1,1))</f>
        <v>370.04285308422544</v>
      </c>
      <c r="AO100" s="60">
        <f t="shared" si="90"/>
        <v>218.53758068502731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-2.8421709430404007E-13</v>
      </c>
      <c r="BE100" s="14">
        <f>BD100*VLOOKUP('Données projet'!$B$11,Paramètres!$A$1:$I$89,3,0)*VLOOKUP('Données projet'!$B$11,Paramètres!$A$1:$I$89,5,0)</f>
        <v>-1.69961822393816E-13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225.82185458224626</v>
      </c>
      <c r="BJ100" s="60">
        <f t="shared" si="92"/>
        <v>363.02009369315243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27.815606213495336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5.1535571675516434E-7</v>
      </c>
      <c r="BS100" s="24">
        <f t="shared" si="63"/>
        <v>27.815606728851051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3.4</v>
      </c>
      <c r="BY100" s="13">
        <f>IF('Données projet'!$A$114&gt;35,BY99+BX100-CG99,IF(A100&lt;'Données projet'!$A$114,$BV$205^A100,IF(A100='Données projet'!$A$114,'Données projet'!$B$114,BY99+BX100-CG99)))</f>
        <v>204.8</v>
      </c>
      <c r="BZ100" s="14">
        <f>BY100*VLOOKUP('Données projet'!$B$12,Paramètres!$A$1:$I$89,3,0)*VLOOKUP('Données projet'!$B$12,Paramètres!$A$1:$I$89,5,0)</f>
        <v>220.44671999999997</v>
      </c>
      <c r="CA100" s="14">
        <f t="shared" si="93"/>
        <v>54.211966639941046</v>
      </c>
      <c r="CB100" s="22">
        <f t="shared" si="64"/>
        <v>478.36387923123061</v>
      </c>
      <c r="CC100" s="60">
        <f t="shared" si="65"/>
        <v>771.69721256456387</v>
      </c>
      <c r="CD100" s="60">
        <f ca="1">AVERAGE(OFFSET($CC$3,0,0,'Données projet'!$E$12+1,1))-AVERAGE(OFFSET($H$3,0,0,'Données projet'!$E$12+1,1))</f>
        <v>380.16582491288449</v>
      </c>
      <c r="CE100" s="60">
        <f t="shared" si="94"/>
        <v>166.97658184507776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3.4</v>
      </c>
      <c r="CT100" s="13">
        <f>IF('Données projet'!$A$140&gt;35,CT99+CS100-DB99,IF(A100&lt;'Données projet'!$A$140,$CQ$205^A100,IF(A100='Données projet'!$A$140,'Données projet'!$B$140,CT99+CS100-DB99)))</f>
        <v>204.8</v>
      </c>
      <c r="CU100" s="18">
        <f>CT100*VLOOKUP('Données projet'!$B$13,Paramètres!$A$1:$I$89,3,0)*VLOOKUP('Données projet'!$B$13,Paramètres!$A$1:$I$89,5,0)</f>
        <v>198.08256</v>
      </c>
      <c r="CV100" s="14">
        <f t="shared" si="95"/>
        <v>49.32253647732152</v>
      </c>
      <c r="CW100" s="22">
        <f t="shared" si="67"/>
        <v>430.89720969800169</v>
      </c>
      <c r="CX100" s="60">
        <f t="shared" si="68"/>
        <v>724.23054303133495</v>
      </c>
      <c r="CY100" s="60">
        <f ca="1">AVERAGE(OFFSET($CX$3,0,0,'Données projet'!$E$13+1,1))-AVERAGE(OFFSET($H$3,0,0,'Données projet'!$E$13+1,1))</f>
        <v>345.71694170753534</v>
      </c>
      <c r="CZ100" s="60">
        <f t="shared" si="96"/>
        <v>154.08406475869634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246.19607999999968</v>
      </c>
      <c r="P101" s="14">
        <f t="shared" si="87"/>
        <v>59.770663189456016</v>
      </c>
      <c r="Q101" s="22">
        <f t="shared" si="107"/>
        <v>532.89207772163536</v>
      </c>
      <c r="R101" s="60">
        <f t="shared" si="55"/>
        <v>826.22541105496862</v>
      </c>
      <c r="S101" s="60">
        <f ca="1">AVERAGE(OFFSET($R$3,0,0,'Données projet'!$E$9+1,1))-AVERAGE(OFFSET($H$3,0,0,'Données projet'!$E$9+1,1))</f>
        <v>430.21146937947236</v>
      </c>
      <c r="T101" s="60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3.8</v>
      </c>
      <c r="AI101" s="14">
        <f>IF('Données projet'!$A$62&gt;35,AI100+AH101-AQ100,IF(A101&lt;'Données projet'!$A$62,$AF$205^A101,IF(A101='Données projet'!$A$62,'Données projet'!$B$62,AI100+AH101-AQ100)))</f>
        <v>247.40000000000003</v>
      </c>
      <c r="AJ101" s="14">
        <f>AI101*VLOOKUP('Données projet'!$B$10,Paramètres!$A$1:$I$89,3,0)*VLOOKUP('Données projet'!$B$10,Paramètres!$A$1:$I$89,5,0)</f>
        <v>235.42584000000002</v>
      </c>
      <c r="AK101" s="14">
        <f t="shared" si="89"/>
        <v>57.454278198558761</v>
      </c>
      <c r="AL101" s="22">
        <f t="shared" si="58"/>
        <v>510.09953919582313</v>
      </c>
      <c r="AM101" s="60">
        <f t="shared" si="59"/>
        <v>803.43287252915638</v>
      </c>
      <c r="AN101" s="60">
        <f ca="1">AVERAGE(OFFSET($AM$3,0,0,'Données projet'!$E$10+1,1))-AVERAGE(OFFSET($H$3,0,0,'Données projet'!$E$10+1,1))</f>
        <v>370.04285308422544</v>
      </c>
      <c r="AO101" s="60">
        <f t="shared" si="90"/>
        <v>218.53758068502731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-2.8421709430404007E-13</v>
      </c>
      <c r="BE101" s="14">
        <f>BD101*VLOOKUP('Données projet'!$B$11,Paramètres!$A$1:$I$89,3,0)*VLOOKUP('Données projet'!$B$11,Paramètres!$A$1:$I$89,5,0)</f>
        <v>-1.69961822393816E-13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225.82185458224626</v>
      </c>
      <c r="BJ101" s="60">
        <f t="shared" si="92"/>
        <v>363.02009369315243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27.270159141493245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3.6441152204083036E-7</v>
      </c>
      <c r="BS101" s="24">
        <f t="shared" si="63"/>
        <v>27.270159505904768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3.4</v>
      </c>
      <c r="BY101" s="13">
        <f>IF('Données projet'!$A$114&gt;35,BY100+BX101-CG100,IF(A101&lt;'Données projet'!$A$114,$BV$205^A101,IF(A101='Données projet'!$A$114,'Données projet'!$B$114,BY100+BX101-CG100)))</f>
        <v>208.20000000000002</v>
      </c>
      <c r="BZ101" s="14">
        <f>BY101*VLOOKUP('Données projet'!$B$12,Paramètres!$A$1:$I$89,3,0)*VLOOKUP('Données projet'!$B$12,Paramètres!$A$1:$I$89,5,0)</f>
        <v>224.10647999999998</v>
      </c>
      <c r="CA101" s="14">
        <f t="shared" si="93"/>
        <v>55.006445935422541</v>
      </c>
      <c r="CB101" s="22">
        <f t="shared" si="64"/>
        <v>486.12167933752761</v>
      </c>
      <c r="CC101" s="60">
        <f t="shared" si="65"/>
        <v>779.45501267086092</v>
      </c>
      <c r="CD101" s="60">
        <f ca="1">AVERAGE(OFFSET($CC$3,0,0,'Données projet'!$E$12+1,1))-AVERAGE(OFFSET($H$3,0,0,'Données projet'!$E$12+1,1))</f>
        <v>380.16582491288449</v>
      </c>
      <c r="CE101" s="60">
        <f t="shared" si="94"/>
        <v>166.97658184507776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3.4</v>
      </c>
      <c r="CT101" s="13">
        <f>IF('Données projet'!$A$140&gt;35,CT100+CS101-DB100,IF(A101&lt;'Données projet'!$A$140,$CQ$205^A101,IF(A101='Données projet'!$A$140,'Données projet'!$B$140,CT100+CS101-DB100)))</f>
        <v>208.20000000000002</v>
      </c>
      <c r="CU101" s="18">
        <f>CT101*VLOOKUP('Données projet'!$B$13,Paramètres!$A$1:$I$89,3,0)*VLOOKUP('Données projet'!$B$13,Paramètres!$A$1:$I$89,5,0)</f>
        <v>201.37104000000002</v>
      </c>
      <c r="CV101" s="14">
        <f t="shared" si="95"/>
        <v>50.045360910017799</v>
      </c>
      <c r="CW101" s="22">
        <f t="shared" si="67"/>
        <v>437.88356491828102</v>
      </c>
      <c r="CX101" s="60">
        <f t="shared" si="68"/>
        <v>731.21689825161434</v>
      </c>
      <c r="CY101" s="60">
        <f ca="1">AVERAGE(OFFSET($CX$3,0,0,'Données projet'!$E$13+1,1))-AVERAGE(OFFSET($H$3,0,0,'Données projet'!$E$13+1,1))</f>
        <v>345.71694170753534</v>
      </c>
      <c r="CZ101" s="60">
        <f t="shared" si="96"/>
        <v>154.08406475869634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250.44863999999961</v>
      </c>
      <c r="P102" s="14">
        <f t="shared" si="87"/>
        <v>60.682000328889949</v>
      </c>
      <c r="Q102" s="22">
        <f t="shared" si="107"/>
        <v>541.88586523948277</v>
      </c>
      <c r="R102" s="60">
        <f t="shared" si="55"/>
        <v>835.21919857281614</v>
      </c>
      <c r="S102" s="60">
        <f ca="1">AVERAGE(OFFSET($R$3,0,0,'Données projet'!$E$9+1,1))-AVERAGE(OFFSET($H$3,0,0,'Données projet'!$E$9+1,1))</f>
        <v>430.21146937947236</v>
      </c>
      <c r="T102" s="60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3.8</v>
      </c>
      <c r="AI102" s="14">
        <f>IF('Données projet'!$A$62&gt;35,AI101+AH102-AQ101,IF(A102&lt;'Données projet'!$A$62,$AF$205^A102,IF(A102='Données projet'!$A$62,'Données projet'!$B$62,AI101+AH102-AQ101)))</f>
        <v>251.20000000000005</v>
      </c>
      <c r="AJ102" s="14">
        <f>AI102*VLOOKUP('Données projet'!$B$10,Paramètres!$A$1:$I$89,3,0)*VLOOKUP('Données projet'!$B$10,Paramètres!$A$1:$I$89,5,0)</f>
        <v>239.04192000000006</v>
      </c>
      <c r="AK102" s="14">
        <f t="shared" si="89"/>
        <v>58.233346939347648</v>
      </c>
      <c r="AL102" s="22">
        <f t="shared" si="58"/>
        <v>517.75442325269717</v>
      </c>
      <c r="AM102" s="60">
        <f t="shared" si="59"/>
        <v>811.08775658603054</v>
      </c>
      <c r="AN102" s="60">
        <f ca="1">AVERAGE(OFFSET($AM$3,0,0,'Données projet'!$E$10+1,1))-AVERAGE(OFFSET($H$3,0,0,'Données projet'!$E$10+1,1))</f>
        <v>370.04285308422544</v>
      </c>
      <c r="AO102" s="60">
        <f t="shared" si="90"/>
        <v>218.53758068502731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-2.8421709430404007E-13</v>
      </c>
      <c r="BE102" s="14">
        <f>BD102*VLOOKUP('Données projet'!$B$11,Paramètres!$A$1:$I$89,3,0)*VLOOKUP('Données projet'!$B$11,Paramètres!$A$1:$I$89,5,0)</f>
        <v>-1.69961822393816E-13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225.82185458224626</v>
      </c>
      <c r="BJ102" s="60">
        <f t="shared" si="92"/>
        <v>363.02009369315243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26.73540795388325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2.5767785837758217E-7</v>
      </c>
      <c r="BS102" s="24">
        <f t="shared" si="63"/>
        <v>26.735408211561108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3.4</v>
      </c>
      <c r="BY102" s="13">
        <f>IF('Données projet'!$A$114&gt;35,BY101+BX102-CG101,IF(A102&lt;'Données projet'!$A$114,$BV$205^A102,IF(A102='Données projet'!$A$114,'Données projet'!$B$114,BY101+BX102-CG101)))</f>
        <v>211.60000000000002</v>
      </c>
      <c r="BZ102" s="14">
        <f>BY102*VLOOKUP('Données projet'!$B$12,Paramètres!$A$1:$I$89,3,0)*VLOOKUP('Données projet'!$B$12,Paramètres!$A$1:$I$89,5,0)</f>
        <v>227.76623999999998</v>
      </c>
      <c r="CA102" s="14">
        <f t="shared" si="93"/>
        <v>55.799416396900632</v>
      </c>
      <c r="CB102" s="22">
        <f t="shared" si="64"/>
        <v>493.87685155793525</v>
      </c>
      <c r="CC102" s="60">
        <f t="shared" si="65"/>
        <v>787.21018489126857</v>
      </c>
      <c r="CD102" s="60">
        <f ca="1">AVERAGE(OFFSET($CC$3,0,0,'Données projet'!$E$12+1,1))-AVERAGE(OFFSET($H$3,0,0,'Données projet'!$E$12+1,1))</f>
        <v>380.16582491288449</v>
      </c>
      <c r="CE102" s="60">
        <f t="shared" si="94"/>
        <v>166.97658184507776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3.4</v>
      </c>
      <c r="CT102" s="13">
        <f>IF('Données projet'!$A$140&gt;35,CT101+CS102-DB101,IF(A102&lt;'Données projet'!$A$140,$CQ$205^A102,IF(A102='Données projet'!$A$140,'Données projet'!$B$140,CT101+CS102-DB101)))</f>
        <v>211.60000000000002</v>
      </c>
      <c r="CU102" s="18">
        <f>CT102*VLOOKUP('Données projet'!$B$13,Paramètres!$A$1:$I$89,3,0)*VLOOKUP('Données projet'!$B$13,Paramètres!$A$1:$I$89,5,0)</f>
        <v>204.65952000000001</v>
      </c>
      <c r="CV102" s="14">
        <f t="shared" si="95"/>
        <v>50.766812591921394</v>
      </c>
      <c r="CW102" s="22">
        <f t="shared" si="67"/>
        <v>444.86752926426311</v>
      </c>
      <c r="CX102" s="60">
        <f t="shared" si="68"/>
        <v>738.20086259759637</v>
      </c>
      <c r="CY102" s="60">
        <f ca="1">AVERAGE(OFFSET($CX$3,0,0,'Données projet'!$E$13+1,1))-AVERAGE(OFFSET($H$3,0,0,'Données projet'!$E$13+1,1))</f>
        <v>345.71694170753534</v>
      </c>
      <c r="CZ102" s="60">
        <f t="shared" si="96"/>
        <v>154.08406475869634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254.70119999999963</v>
      </c>
      <c r="P103" s="14">
        <f t="shared" si="87"/>
        <v>61.591537947915114</v>
      </c>
      <c r="Q103" s="22">
        <f t="shared" si="107"/>
        <v>550.87651859261814</v>
      </c>
      <c r="R103" s="60">
        <f t="shared" si="55"/>
        <v>844.2098519259514</v>
      </c>
      <c r="S103" s="60">
        <f ca="1">AVERAGE(OFFSET($R$3,0,0,'Données projet'!$E$9+1,1))-AVERAGE(OFFSET($H$3,0,0,'Données projet'!$E$9+1,1))</f>
        <v>430.21146937947236</v>
      </c>
      <c r="T103" s="60">
        <f t="shared" si="88"/>
        <v>231.36959598460686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255</v>
      </c>
      <c r="AG103" s="13">
        <f>VLOOKUP(A103,'Données projet'!$A$61:$I$81,9,0)</f>
        <v>3.8</v>
      </c>
      <c r="AH103" s="13">
        <f t="array" ref="AH103">INDEX(AG:AG,MIN(IF(ISNUMBER(AG103:AG299),ROW(AG103:AG299),"")))</f>
        <v>3.8</v>
      </c>
      <c r="AI103" s="14">
        <f>IF('Données projet'!$A$62&gt;35,AI102+AH103-AQ102,IF(A103&lt;'Données projet'!$A$62,$AF$205^A103,IF(A103='Données projet'!$A$62,'Données projet'!$B$62,AI102+AH103-AQ102)))</f>
        <v>255.00000000000006</v>
      </c>
      <c r="AJ103" s="14">
        <f>AI103*VLOOKUP('Données projet'!$B$10,Paramètres!$A$1:$I$89,3,0)*VLOOKUP('Données projet'!$B$10,Paramètres!$A$1:$I$89,5,0)</f>
        <v>242.65800000000007</v>
      </c>
      <c r="AK103" s="14">
        <f t="shared" si="89"/>
        <v>59.011045025839607</v>
      </c>
      <c r="AL103" s="22">
        <f t="shared" si="58"/>
        <v>525.40692008667077</v>
      </c>
      <c r="AM103" s="60">
        <f t="shared" si="59"/>
        <v>818.74025342000414</v>
      </c>
      <c r="AN103" s="60">
        <f ca="1">AVERAGE(OFFSET($AM$3,0,0,'Données projet'!$E$10+1,1))-AVERAGE(OFFSET($H$3,0,0,'Données projet'!$E$10+1,1))</f>
        <v>370.04285308422544</v>
      </c>
      <c r="AO103" s="60">
        <f t="shared" si="90"/>
        <v>218.53758068502731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-2.8421709430404007E-13</v>
      </c>
      <c r="BE103" s="14">
        <f>BD103*VLOOKUP('Données projet'!$B$11,Paramètres!$A$1:$I$89,3,0)*VLOOKUP('Données projet'!$B$11,Paramètres!$A$1:$I$89,5,0)</f>
        <v>-1.69961822393816E-13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225.82185458224626</v>
      </c>
      <c r="BJ103" s="60">
        <f t="shared" si="92"/>
        <v>363.02009369315243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26.211142910896271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1.8220576102041518E-7</v>
      </c>
      <c r="BS103" s="24">
        <f t="shared" si="63"/>
        <v>26.211143093102031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3.4</v>
      </c>
      <c r="BY103" s="13">
        <f>IF('Données projet'!$A$114&gt;35,BY102+BX103-CG102,IF(A103&lt;'Données projet'!$A$114,$BV$205^A103,IF(A103='Données projet'!$A$114,'Données projet'!$B$114,BY102+BX103-CG102)))</f>
        <v>215.00000000000003</v>
      </c>
      <c r="BZ103" s="14">
        <f>BY103*VLOOKUP('Données projet'!$B$12,Paramètres!$A$1:$I$89,3,0)*VLOOKUP('Données projet'!$B$12,Paramètres!$A$1:$I$89,5,0)</f>
        <v>231.42599999999999</v>
      </c>
      <c r="CA103" s="14">
        <f t="shared" si="93"/>
        <v>56.590905067453221</v>
      </c>
      <c r="CB103" s="22">
        <f t="shared" si="64"/>
        <v>501.62944299248096</v>
      </c>
      <c r="CC103" s="60">
        <f t="shared" si="65"/>
        <v>794.96277632581427</v>
      </c>
      <c r="CD103" s="60">
        <f ca="1">AVERAGE(OFFSET($CC$3,0,0,'Données projet'!$E$12+1,1))-AVERAGE(OFFSET($H$3,0,0,'Données projet'!$E$12+1,1))</f>
        <v>380.16582491288449</v>
      </c>
      <c r="CE103" s="60">
        <f t="shared" si="94"/>
        <v>166.97658184507776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3.4</v>
      </c>
      <c r="CT103" s="13">
        <f>IF('Données projet'!$A$140&gt;35,CT102+CS103-DB102,IF(A103&lt;'Données projet'!$A$140,$CQ$205^A103,IF(A103='Données projet'!$A$140,'Données projet'!$B$140,CT102+CS103-DB102)))</f>
        <v>215.00000000000003</v>
      </c>
      <c r="CU103" s="18">
        <f>CT103*VLOOKUP('Données projet'!$B$13,Paramètres!$A$1:$I$89,3,0)*VLOOKUP('Données projet'!$B$13,Paramètres!$A$1:$I$89,5,0)</f>
        <v>207.94800000000004</v>
      </c>
      <c r="CV103" s="14">
        <f t="shared" si="95"/>
        <v>51.486916127068838</v>
      </c>
      <c r="CW103" s="22">
        <f t="shared" si="67"/>
        <v>451.84914558797823</v>
      </c>
      <c r="CX103" s="60">
        <f t="shared" si="68"/>
        <v>745.18247892131149</v>
      </c>
      <c r="CY103" s="60">
        <f ca="1">AVERAGE(OFFSET($CX$3,0,0,'Données projet'!$E$13+1,1))-AVERAGE(OFFSET($H$3,0,0,'Données projet'!$E$13+1,1))</f>
        <v>345.71694170753534</v>
      </c>
      <c r="CZ103" s="60">
        <f t="shared" si="96"/>
        <v>154.08406475869634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258.95375999999965</v>
      </c>
      <c r="P104" s="14">
        <f t="shared" si="87"/>
        <v>62.499309559645205</v>
      </c>
      <c r="Q104" s="22">
        <f t="shared" si="107"/>
        <v>559.86409614971478</v>
      </c>
      <c r="R104" s="60">
        <f t="shared" si="55"/>
        <v>853.19742948304815</v>
      </c>
      <c r="S104" s="60">
        <f ca="1">AVERAGE(OFFSET($R$3,0,0,'Données projet'!$E$9+1,1))-AVERAGE(OFFSET($H$3,0,0,'Données projet'!$E$9+1,1))</f>
        <v>430.21146937947236</v>
      </c>
      <c r="T104" s="60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3.8</v>
      </c>
      <c r="AI104" s="14">
        <f>IF('Données projet'!$A$62&gt;35,AI103+AH104-AQ103,IF(A104&lt;'Données projet'!$A$62,$AF$205^A104,IF(A104='Données projet'!$A$62,'Données projet'!$B$62,AI103+AH104-AQ103)))</f>
        <v>258.80000000000007</v>
      </c>
      <c r="AJ104" s="14">
        <f>AI104*VLOOKUP('Données projet'!$B$10,Paramètres!$A$1:$I$89,3,0)*VLOOKUP('Données projet'!$B$10,Paramètres!$A$1:$I$89,5,0)</f>
        <v>246.27408000000008</v>
      </c>
      <c r="AK104" s="14">
        <f t="shared" si="89"/>
        <v>59.787395242924525</v>
      </c>
      <c r="AL104" s="22">
        <f t="shared" si="58"/>
        <v>533.05706938142691</v>
      </c>
      <c r="AM104" s="60">
        <f t="shared" si="59"/>
        <v>826.39040271476028</v>
      </c>
      <c r="AN104" s="60">
        <f ca="1">AVERAGE(OFFSET($AM$3,0,0,'Données projet'!$E$10+1,1))-AVERAGE(OFFSET($H$3,0,0,'Données projet'!$E$10+1,1))</f>
        <v>370.04285308422544</v>
      </c>
      <c r="AO104" s="60">
        <f t="shared" si="90"/>
        <v>218.53758068502731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-2.8421709430404007E-13</v>
      </c>
      <c r="BE104" s="14">
        <f>BD104*VLOOKUP('Données projet'!$B$11,Paramètres!$A$1:$I$89,3,0)*VLOOKUP('Données projet'!$B$11,Paramètres!$A$1:$I$89,5,0)</f>
        <v>-1.69961822393816E-13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225.82185458224626</v>
      </c>
      <c r="BJ104" s="60">
        <f t="shared" si="92"/>
        <v>363.02009369315243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25.697158385632164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1.2883892918879108E-7</v>
      </c>
      <c r="BS104" s="24">
        <f t="shared" si="63"/>
        <v>25.697158514471095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218.40000000000003</v>
      </c>
      <c r="BZ104" s="14">
        <f>BY104*VLOOKUP('Données projet'!$B$12,Paramètres!$A$1:$I$89,3,0)*VLOOKUP('Données projet'!$B$12,Paramètres!$A$1:$I$89,5,0)</f>
        <v>235.08575999999999</v>
      </c>
      <c r="CA104" s="14">
        <f t="shared" si="93"/>
        <v>57.380938085783008</v>
      </c>
      <c r="CB104" s="22">
        <f t="shared" si="64"/>
        <v>509.37949916607204</v>
      </c>
      <c r="CC104" s="60">
        <f t="shared" si="65"/>
        <v>802.71283249940529</v>
      </c>
      <c r="CD104" s="60">
        <f ca="1">AVERAGE(OFFSET($CC$3,0,0,'Données projet'!$E$12+1,1))-AVERAGE(OFFSET($H$3,0,0,'Données projet'!$E$12+1,1))</f>
        <v>380.16582491288449</v>
      </c>
      <c r="CE104" s="60">
        <f t="shared" si="94"/>
        <v>166.97658184507776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3.4</v>
      </c>
      <c r="CT104" s="13">
        <f>IF('Données projet'!$A$140&gt;35,CT103+CS104-DB103,IF(A104&lt;'Données projet'!$A$140,$CQ$205^A104,IF(A104='Données projet'!$A$140,'Données projet'!$B$140,CT103+CS104-DB103)))</f>
        <v>218.40000000000003</v>
      </c>
      <c r="CU104" s="18">
        <f>CT104*VLOOKUP('Données projet'!$B$13,Paramètres!$A$1:$I$89,3,0)*VLOOKUP('Données projet'!$B$13,Paramètres!$A$1:$I$89,5,0)</f>
        <v>211.23648000000003</v>
      </c>
      <c r="CV104" s="14">
        <f t="shared" si="95"/>
        <v>52.205695296687736</v>
      </c>
      <c r="CW104" s="22">
        <f t="shared" si="67"/>
        <v>458.82845530839785</v>
      </c>
      <c r="CX104" s="60">
        <f t="shared" si="68"/>
        <v>752.16178864173116</v>
      </c>
      <c r="CY104" s="60">
        <f ca="1">AVERAGE(OFFSET($CX$3,0,0,'Données projet'!$E$13+1,1))-AVERAGE(OFFSET($H$3,0,0,'Données projet'!$E$13+1,1))</f>
        <v>345.71694170753534</v>
      </c>
      <c r="CZ104" s="60">
        <f t="shared" si="96"/>
        <v>154.08406475869634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263.20631999999961</v>
      </c>
      <c r="P105" s="14">
        <f t="shared" si="87"/>
        <v>63.405347513378558</v>
      </c>
      <c r="Q105" s="22">
        <f t="shared" si="107"/>
        <v>568.84865425246687</v>
      </c>
      <c r="R105" s="60">
        <f t="shared" si="55"/>
        <v>862.18198758580024</v>
      </c>
      <c r="S105" s="60">
        <f ca="1">AVERAGE(OFFSET($R$3,0,0,'Données projet'!$E$9+1,1))-AVERAGE(OFFSET($H$3,0,0,'Données projet'!$E$9+1,1))</f>
        <v>430.21146937947236</v>
      </c>
      <c r="T105" s="60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3.8</v>
      </c>
      <c r="AI105" s="14">
        <f>IF('Données projet'!$A$62&gt;35,AI104+AH105-AQ104,IF(A105&lt;'Données projet'!$A$62,$AF$205^A105,IF(A105='Données projet'!$A$62,'Données projet'!$B$62,AI104+AH105-AQ104)))</f>
        <v>262.60000000000008</v>
      </c>
      <c r="AJ105" s="14">
        <f>AI105*VLOOKUP('Données projet'!$B$10,Paramètres!$A$1:$I$89,3,0)*VLOOKUP('Données projet'!$B$10,Paramètres!$A$1:$I$89,5,0)</f>
        <v>249.89016000000007</v>
      </c>
      <c r="AK105" s="14">
        <f t="shared" si="89"/>
        <v>60.562419667970957</v>
      </c>
      <c r="AL105" s="22">
        <f t="shared" si="58"/>
        <v>540.70490958838275</v>
      </c>
      <c r="AM105" s="60">
        <f t="shared" si="59"/>
        <v>834.03824292171612</v>
      </c>
      <c r="AN105" s="60">
        <f ca="1">AVERAGE(OFFSET($AM$3,0,0,'Données projet'!$E$10+1,1))-AVERAGE(OFFSET($H$3,0,0,'Données projet'!$E$10+1,1))</f>
        <v>370.04285308422544</v>
      </c>
      <c r="AO105" s="60">
        <f t="shared" si="90"/>
        <v>218.53758068502731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-2.8421709430404007E-13</v>
      </c>
      <c r="BE105" s="14">
        <f>BD105*VLOOKUP('Données projet'!$B$11,Paramètres!$A$1:$I$89,3,0)*VLOOKUP('Données projet'!$B$11,Paramètres!$A$1:$I$89,5,0)</f>
        <v>-1.69961822393816E-13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225.82185458224626</v>
      </c>
      <c r="BJ105" s="60">
        <f t="shared" si="92"/>
        <v>363.02009369315243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25.19325278340888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9.1102880510207589E-8</v>
      </c>
      <c r="BS105" s="24">
        <f t="shared" si="63"/>
        <v>25.19325287451176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221.80000000000004</v>
      </c>
      <c r="BZ105" s="14">
        <f>BY105*VLOOKUP('Données projet'!$B$12,Paramètres!$A$1:$I$89,3,0)*VLOOKUP('Données projet'!$B$12,Paramètres!$A$1:$I$89,5,0)</f>
        <v>238.74552</v>
      </c>
      <c r="CA105" s="14">
        <f t="shared" si="93"/>
        <v>58.169540730060781</v>
      </c>
      <c r="CB105" s="22">
        <f t="shared" si="64"/>
        <v>517.12706410485578</v>
      </c>
      <c r="CC105" s="60">
        <f t="shared" si="65"/>
        <v>810.46039743818915</v>
      </c>
      <c r="CD105" s="60">
        <f ca="1">AVERAGE(OFFSET($CC$3,0,0,'Données projet'!$E$12+1,1))-AVERAGE(OFFSET($H$3,0,0,'Données projet'!$E$12+1,1))</f>
        <v>380.16582491288449</v>
      </c>
      <c r="CE105" s="60">
        <f t="shared" si="94"/>
        <v>166.97658184507776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3.4</v>
      </c>
      <c r="CT105" s="13">
        <f>IF('Données projet'!$A$140&gt;35,CT104+CS105-DB104,IF(A105&lt;'Données projet'!$A$140,$CQ$205^A105,IF(A105='Données projet'!$A$140,'Données projet'!$B$140,CT104+CS105-DB104)))</f>
        <v>221.80000000000004</v>
      </c>
      <c r="CU105" s="18">
        <f>CT105*VLOOKUP('Données projet'!$B$13,Paramètres!$A$1:$I$89,3,0)*VLOOKUP('Données projet'!$B$13,Paramètres!$A$1:$I$89,5,0)</f>
        <v>214.52496000000005</v>
      </c>
      <c r="CV105" s="14">
        <f t="shared" si="95"/>
        <v>52.923173099085766</v>
      </c>
      <c r="CW105" s="22">
        <f t="shared" si="67"/>
        <v>465.80549848090777</v>
      </c>
      <c r="CX105" s="60">
        <f t="shared" si="68"/>
        <v>759.13883181424103</v>
      </c>
      <c r="CY105" s="60">
        <f ca="1">AVERAGE(OFFSET($CX$3,0,0,'Données projet'!$E$13+1,1))-AVERAGE(OFFSET($H$3,0,0,'Données projet'!$E$13+1,1))</f>
        <v>345.71694170753534</v>
      </c>
      <c r="CZ105" s="60">
        <f t="shared" si="96"/>
        <v>154.08406475869634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267.45887999999962</v>
      </c>
      <c r="P106" s="14">
        <f t="shared" si="87"/>
        <v>64.309683053152327</v>
      </c>
      <c r="Q106" s="22">
        <f t="shared" si="107"/>
        <v>577.83024731757303</v>
      </c>
      <c r="R106" s="60">
        <f t="shared" si="55"/>
        <v>871.1635806509064</v>
      </c>
      <c r="S106" s="60">
        <f ca="1">AVERAGE(OFFSET($R$3,0,0,'Données projet'!$E$9+1,1))-AVERAGE(OFFSET($H$3,0,0,'Données projet'!$E$9+1,1))</f>
        <v>430.21146937947236</v>
      </c>
      <c r="T106" s="60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3.8</v>
      </c>
      <c r="AI106" s="14">
        <f>IF('Données projet'!$A$62&gt;35,AI105+AH106-AQ105,IF(A106&lt;'Données projet'!$A$62,$AF$205^A106,IF(A106='Données projet'!$A$62,'Données projet'!$B$62,AI105+AH106-AQ105)))</f>
        <v>266.40000000000009</v>
      </c>
      <c r="AJ106" s="14">
        <f>AI106*VLOOKUP('Données projet'!$B$10,Paramètres!$A$1:$I$89,3,0)*VLOOKUP('Données projet'!$B$10,Paramètres!$A$1:$I$89,5,0)</f>
        <v>253.50624000000008</v>
      </c>
      <c r="AK106" s="14">
        <f t="shared" si="89"/>
        <v>61.336139702710739</v>
      </c>
      <c r="AL106" s="22">
        <f t="shared" si="58"/>
        <v>548.35047798222126</v>
      </c>
      <c r="AM106" s="60">
        <f t="shared" si="59"/>
        <v>841.68381131555452</v>
      </c>
      <c r="AN106" s="60">
        <f ca="1">AVERAGE(OFFSET($AM$3,0,0,'Données projet'!$E$10+1,1))-AVERAGE(OFFSET($H$3,0,0,'Données projet'!$E$10+1,1))</f>
        <v>370.04285308422544</v>
      </c>
      <c r="AO106" s="60">
        <f t="shared" si="90"/>
        <v>218.53758068502731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-2.8421709430404007E-13</v>
      </c>
      <c r="BE106" s="14">
        <f>BD106*VLOOKUP('Données projet'!$B$11,Paramètres!$A$1:$I$89,3,0)*VLOOKUP('Données projet'!$B$11,Paramètres!$A$1:$I$89,5,0)</f>
        <v>-1.69961822393816E-13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225.82185458224626</v>
      </c>
      <c r="BJ106" s="60">
        <f t="shared" si="92"/>
        <v>363.02009369315243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24.699228462693128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6.4419464594395542E-8</v>
      </c>
      <c r="BS106" s="24">
        <f t="shared" si="63"/>
        <v>24.699228527112592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225.20000000000005</v>
      </c>
      <c r="BZ106" s="14">
        <f>BY106*VLOOKUP('Données projet'!$B$12,Paramètres!$A$1:$I$89,3,0)*VLOOKUP('Données projet'!$B$12,Paramètres!$A$1:$I$89,5,0)</f>
        <v>242.40528</v>
      </c>
      <c r="CA106" s="14">
        <f t="shared" si="93"/>
        <v>58.956737459003826</v>
      </c>
      <c r="CB106" s="22">
        <f t="shared" si="64"/>
        <v>524.87218040776497</v>
      </c>
      <c r="CC106" s="60">
        <f t="shared" si="65"/>
        <v>818.20551374109823</v>
      </c>
      <c r="CD106" s="60">
        <f ca="1">AVERAGE(OFFSET($CC$3,0,0,'Données projet'!$E$12+1,1))-AVERAGE(OFFSET($H$3,0,0,'Données projet'!$E$12+1,1))</f>
        <v>380.16582491288449</v>
      </c>
      <c r="CE106" s="60">
        <f t="shared" si="94"/>
        <v>166.97658184507776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3.4</v>
      </c>
      <c r="CT106" s="13">
        <f>IF('Données projet'!$A$140&gt;35,CT105+CS106-DB105,IF(A106&lt;'Données projet'!$A$140,$CQ$205^A106,IF(A106='Données projet'!$A$140,'Données projet'!$B$140,CT105+CS106-DB105)))</f>
        <v>225.20000000000005</v>
      </c>
      <c r="CU106" s="18">
        <f>CT106*VLOOKUP('Données projet'!$B$13,Paramètres!$A$1:$I$89,3,0)*VLOOKUP('Données projet'!$B$13,Paramètres!$A$1:$I$89,5,0)</f>
        <v>217.81344000000004</v>
      </c>
      <c r="CV106" s="14">
        <f t="shared" si="95"/>
        <v>53.639371787024814</v>
      </c>
      <c r="CW106" s="22">
        <f t="shared" si="67"/>
        <v>472.78031386240167</v>
      </c>
      <c r="CX106" s="60">
        <f t="shared" si="68"/>
        <v>766.11364719573498</v>
      </c>
      <c r="CY106" s="60">
        <f ca="1">AVERAGE(OFFSET($CX$3,0,0,'Données projet'!$E$13+1,1))-AVERAGE(OFFSET($H$3,0,0,'Données projet'!$E$13+1,1))</f>
        <v>345.71694170753534</v>
      </c>
      <c r="CZ106" s="60">
        <f t="shared" si="96"/>
        <v>154.08406475869634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271.71143999999958</v>
      </c>
      <c r="P107" s="14">
        <f t="shared" si="87"/>
        <v>65.212346372467266</v>
      </c>
      <c r="Q107" s="22">
        <f t="shared" si="107"/>
        <v>586.80892793204634</v>
      </c>
      <c r="R107" s="60">
        <f t="shared" si="55"/>
        <v>880.1422612653796</v>
      </c>
      <c r="S107" s="60">
        <f ca="1">AVERAGE(OFFSET($R$3,0,0,'Données projet'!$E$9+1,1))-AVERAGE(OFFSET($H$3,0,0,'Données projet'!$E$9+1,1))</f>
        <v>430.21146937947236</v>
      </c>
      <c r="T107" s="60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3.8</v>
      </c>
      <c r="AI107" s="14">
        <f>IF('Données projet'!$A$62&gt;35,AI106+AH107-AQ106,IF(A107&lt;'Données projet'!$A$62,$AF$205^A107,IF(A107='Données projet'!$A$62,'Données projet'!$B$62,AI106+AH107-AQ106)))</f>
        <v>270.2000000000001</v>
      </c>
      <c r="AJ107" s="14">
        <f>AI107*VLOOKUP('Données projet'!$B$10,Paramètres!$A$1:$I$89,3,0)*VLOOKUP('Données projet'!$B$10,Paramètres!$A$1:$I$89,5,0)</f>
        <v>257.12232000000012</v>
      </c>
      <c r="AK107" s="14">
        <f t="shared" si="89"/>
        <v>62.1085761032516</v>
      </c>
      <c r="AL107" s="22">
        <f t="shared" si="58"/>
        <v>555.99381071316338</v>
      </c>
      <c r="AM107" s="60">
        <f t="shared" si="59"/>
        <v>849.32714404649664</v>
      </c>
      <c r="AN107" s="60">
        <f ca="1">AVERAGE(OFFSET($AM$3,0,0,'Données projet'!$E$10+1,1))-AVERAGE(OFFSET($H$3,0,0,'Données projet'!$E$10+1,1))</f>
        <v>370.04285308422544</v>
      </c>
      <c r="AO107" s="60">
        <f t="shared" si="90"/>
        <v>218.53758068502731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-2.8421709430404007E-13</v>
      </c>
      <c r="BE107" s="14">
        <f>BD107*VLOOKUP('Données projet'!$B$11,Paramètres!$A$1:$I$89,3,0)*VLOOKUP('Données projet'!$B$11,Paramètres!$A$1:$I$89,5,0)</f>
        <v>-1.69961822393816E-13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225.82185458224626</v>
      </c>
      <c r="BJ107" s="60">
        <f t="shared" si="92"/>
        <v>363.02009369315243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24.214891657581529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4.5551440255103795E-8</v>
      </c>
      <c r="BS107" s="24">
        <f t="shared" si="63"/>
        <v>24.21489170313297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228.60000000000005</v>
      </c>
      <c r="BZ107" s="14">
        <f>BY107*VLOOKUP('Données projet'!$B$12,Paramètres!$A$1:$I$89,3,0)*VLOOKUP('Données projet'!$B$12,Paramètres!$A$1:$I$89,5,0)</f>
        <v>246.06504000000007</v>
      </c>
      <c r="CA107" s="14">
        <f t="shared" si="93"/>
        <v>59.742551950404049</v>
      </c>
      <c r="CB107" s="22">
        <f t="shared" si="64"/>
        <v>532.61488931362055</v>
      </c>
      <c r="CC107" s="60">
        <f t="shared" si="65"/>
        <v>825.94822264695381</v>
      </c>
      <c r="CD107" s="60">
        <f ca="1">AVERAGE(OFFSET($CC$3,0,0,'Données projet'!$E$12+1,1))-AVERAGE(OFFSET($H$3,0,0,'Données projet'!$E$12+1,1))</f>
        <v>380.16582491288449</v>
      </c>
      <c r="CE107" s="60">
        <f t="shared" si="94"/>
        <v>166.97658184507776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3.4</v>
      </c>
      <c r="CT107" s="13">
        <f>IF('Données projet'!$A$140&gt;35,CT106+CS107-DB106,IF(A107&lt;'Données projet'!$A$140,$CQ$205^A107,IF(A107='Données projet'!$A$140,'Données projet'!$B$140,CT106+CS107-DB106)))</f>
        <v>228.60000000000005</v>
      </c>
      <c r="CU107" s="18">
        <f>CT107*VLOOKUP('Données projet'!$B$13,Paramètres!$A$1:$I$89,3,0)*VLOOKUP('Données projet'!$B$13,Paramètres!$A$1:$I$89,5,0)</f>
        <v>221.10192000000006</v>
      </c>
      <c r="CV107" s="14">
        <f t="shared" si="95"/>
        <v>54.35431290277365</v>
      </c>
      <c r="CW107" s="22">
        <f t="shared" si="67"/>
        <v>479.75293897233087</v>
      </c>
      <c r="CX107" s="60">
        <f t="shared" si="68"/>
        <v>773.08627230566412</v>
      </c>
      <c r="CY107" s="60">
        <f ca="1">AVERAGE(OFFSET($CX$3,0,0,'Données projet'!$E$13+1,1))-AVERAGE(OFFSET($H$3,0,0,'Données projet'!$E$13+1,1))</f>
        <v>345.71694170753534</v>
      </c>
      <c r="CZ107" s="60">
        <f t="shared" si="96"/>
        <v>154.08406475869634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275.9639999999996</v>
      </c>
      <c r="P108" s="14">
        <f t="shared" si="87"/>
        <v>66.113366665488797</v>
      </c>
      <c r="Q108" s="22">
        <f t="shared" si="107"/>
        <v>595.7847469423923</v>
      </c>
      <c r="R108" s="60">
        <f t="shared" si="55"/>
        <v>889.11808027572556</v>
      </c>
      <c r="S108" s="60">
        <f ca="1">AVERAGE(OFFSET($R$3,0,0,'Données projet'!$E$9+1,1))-AVERAGE(OFFSET($H$3,0,0,'Données projet'!$E$9+1,1))</f>
        <v>430.21146937947236</v>
      </c>
      <c r="T108" s="60">
        <f t="shared" si="88"/>
        <v>231.36959598460686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274</v>
      </c>
      <c r="AG108" s="13">
        <f>VLOOKUP(A108,'Données projet'!$A$61:$I$81,9,0)</f>
        <v>3.8</v>
      </c>
      <c r="AH108" s="13">
        <f t="array" ref="AH108">INDEX(AG:AG,MIN(IF(ISNUMBER(AG108:AG304),ROW(AG108:AG304),"")))</f>
        <v>3.8</v>
      </c>
      <c r="AI108" s="14">
        <f>IF('Données projet'!$A$62&gt;35,AI107+AH108-AQ107,IF(A108&lt;'Données projet'!$A$62,$AF$205^A108,IF(A108='Données projet'!$A$62,'Données projet'!$B$62,AI107+AH108-AQ107)))</f>
        <v>274.00000000000011</v>
      </c>
      <c r="AJ108" s="14">
        <f>AI108*VLOOKUP('Données projet'!$B$10,Paramètres!$A$1:$I$89,3,0)*VLOOKUP('Données projet'!$B$10,Paramètres!$A$1:$I$89,5,0)</f>
        <v>260.73840000000013</v>
      </c>
      <c r="AK108" s="14">
        <f t="shared" si="89"/>
        <v>62.879749008354764</v>
      </c>
      <c r="AL108" s="22">
        <f t="shared" si="58"/>
        <v>563.634942856218</v>
      </c>
      <c r="AM108" s="60">
        <f t="shared" si="59"/>
        <v>856.96827618955126</v>
      </c>
      <c r="AN108" s="60">
        <f ca="1">AVERAGE(OFFSET($AM$3,0,0,'Données projet'!$E$10+1,1))-AVERAGE(OFFSET($H$3,0,0,'Données projet'!$E$10+1,1))</f>
        <v>370.04285308422544</v>
      </c>
      <c r="AO108" s="60">
        <f t="shared" si="90"/>
        <v>218.53758068502731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25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-2.8421709430404007E-13</v>
      </c>
      <c r="BE108" s="14">
        <f>BD108*VLOOKUP('Données projet'!$B$11,Paramètres!$A$1:$I$89,3,0)*VLOOKUP('Données projet'!$B$11,Paramètres!$A$1:$I$89,5,0)</f>
        <v>-1.69961822393816E-13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225.82185458224626</v>
      </c>
      <c r="BJ108" s="60">
        <f t="shared" si="92"/>
        <v>363.02009369315243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23.740052401801886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3.2209732297197771E-8</v>
      </c>
      <c r="BS108" s="24">
        <f t="shared" si="63"/>
        <v>23.74005243401162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232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232.00000000000006</v>
      </c>
      <c r="BZ108" s="14">
        <f>BY108*VLOOKUP('Données projet'!$B$12,Paramètres!$A$1:$I$89,3,0)*VLOOKUP('Données projet'!$B$12,Paramètres!$A$1:$I$89,5,0)</f>
        <v>249.72480000000007</v>
      </c>
      <c r="CA108" s="14">
        <f t="shared" si="93"/>
        <v>60.527007137298142</v>
      </c>
      <c r="CB108" s="22">
        <f t="shared" si="64"/>
        <v>540.35523076412767</v>
      </c>
      <c r="CC108" s="60">
        <f t="shared" si="65"/>
        <v>833.68856409746104</v>
      </c>
      <c r="CD108" s="60">
        <f ca="1">AVERAGE(OFFSET($CC$3,0,0,'Données projet'!$E$12+1,1))-AVERAGE(OFFSET($H$3,0,0,'Données projet'!$E$12+1,1))</f>
        <v>380.16582491288449</v>
      </c>
      <c r="CE108" s="60">
        <f t="shared" si="94"/>
        <v>166.97658184507776</v>
      </c>
      <c r="CF108" s="16">
        <f>IF(ISNA(VLOOKUP(A108,'Données projet'!$A$113:$I$133,3,0)),0,VLOOKUP(A108,'Données projet'!$A$113:$I$133,3,0))</f>
        <v>8</v>
      </c>
      <c r="CG108" s="16">
        <f>IF(ISNA(VLOOKUP(A108,'Données projet'!$A$113:$I$133,4,0)),0,VLOOKUP(A108,'Données projet'!$A$113:$I$133,4,0))</f>
        <v>28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232</v>
      </c>
      <c r="CR108" s="13">
        <f>VLOOKUP(A108,'Données projet'!$A$139:$I$159,9,0)</f>
        <v>3.4</v>
      </c>
      <c r="CS108" s="13">
        <f t="array" ref="CS108">INDEX(CR:CR,MIN(IF(ISNUMBER(CR108:CR304),ROW(CR108:CR304),"")))</f>
        <v>3.4</v>
      </c>
      <c r="CT108" s="13">
        <f>IF('Données projet'!$A$140&gt;35,CT107+CS108-DB107,IF(A108&lt;'Données projet'!$A$140,$CQ$205^A108,IF(A108='Données projet'!$A$140,'Données projet'!$B$140,CT107+CS108-DB107)))</f>
        <v>232.00000000000006</v>
      </c>
      <c r="CU108" s="18">
        <f>CT108*VLOOKUP('Données projet'!$B$13,Paramètres!$A$1:$I$89,3,0)*VLOOKUP('Données projet'!$B$13,Paramètres!$A$1:$I$89,5,0)</f>
        <v>224.39040000000006</v>
      </c>
      <c r="CV108" s="14">
        <f t="shared" si="95"/>
        <v>55.068017311015858</v>
      </c>
      <c r="CW108" s="22">
        <f t="shared" si="67"/>
        <v>486.72341015001939</v>
      </c>
      <c r="CX108" s="60">
        <f t="shared" si="68"/>
        <v>780.05674348335265</v>
      </c>
      <c r="CY108" s="60">
        <f ca="1">AVERAGE(OFFSET($CX$3,0,0,'Données projet'!$E$13+1,1))-AVERAGE(OFFSET($H$3,0,0,'Données projet'!$E$13+1,1))</f>
        <v>345.71694170753534</v>
      </c>
      <c r="CZ108" s="60">
        <f t="shared" si="96"/>
        <v>154.08406475869634</v>
      </c>
      <c r="DA108" s="16">
        <f>IF(ISNA(VLOOKUP(A108,'Données projet'!$A$139:$I$159,3,0)),0,VLOOKUP(A108,'Données projet'!$A$139:$I$159,3,0))</f>
        <v>8</v>
      </c>
      <c r="DB108" s="16">
        <f>IF(ISNA(VLOOKUP(A108,'Données projet'!$A$139:$I$159,4,0)),0,VLOOKUP(A108,'Données projet'!$A$139:$I$159,4,0))</f>
        <v>28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242.48639999999955</v>
      </c>
      <c r="P109" s="14">
        <f t="shared" si="87"/>
        <v>58.97417023537232</v>
      </c>
      <c r="Q109" s="22">
        <f t="shared" si="107"/>
        <v>525.0438264932726</v>
      </c>
      <c r="R109" s="60">
        <f t="shared" si="55"/>
        <v>818.37715982660598</v>
      </c>
      <c r="S109" s="60">
        <f ca="1">AVERAGE(OFFSET($R$3,0,0,'Données projet'!$E$9+1,1))-AVERAGE(OFFSET($H$3,0,0,'Données projet'!$E$9+1,1))</f>
        <v>430.21146937947236</v>
      </c>
      <c r="T109" s="60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3.4</v>
      </c>
      <c r="AI109" s="14">
        <f>IF('Données projet'!$A$62&gt;35,AI108+AH109-AQ108,IF(A109&lt;'Données projet'!$A$62,$AF$205^A109,IF(A109='Données projet'!$A$62,'Données projet'!$B$62,AI108+AH109-AQ108)))</f>
        <v>252.40000000000009</v>
      </c>
      <c r="AJ109" s="14">
        <f>AI109*VLOOKUP('Données projet'!$B$10,Paramètres!$A$1:$I$89,3,0)*VLOOKUP('Données projet'!$B$10,Paramètres!$A$1:$I$89,5,0)</f>
        <v>240.18384000000009</v>
      </c>
      <c r="AK109" s="14">
        <f t="shared" si="89"/>
        <v>58.479082790905728</v>
      </c>
      <c r="AL109" s="22">
        <f t="shared" si="58"/>
        <v>520.17125719416094</v>
      </c>
      <c r="AM109" s="60">
        <f t="shared" si="59"/>
        <v>813.5045905274942</v>
      </c>
      <c r="AN109" s="60">
        <f ca="1">AVERAGE(OFFSET($AM$3,0,0,'Données projet'!$E$10+1,1))-AVERAGE(OFFSET($H$3,0,0,'Données projet'!$E$10+1,1))</f>
        <v>370.04285308422544</v>
      </c>
      <c r="AO109" s="60">
        <f t="shared" si="90"/>
        <v>218.53758068502731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-2.8421709430404007E-13</v>
      </c>
      <c r="BE109" s="14">
        <f>BD109*VLOOKUP('Données projet'!$B$11,Paramètres!$A$1:$I$89,3,0)*VLOOKUP('Données projet'!$B$11,Paramètres!$A$1:$I$89,5,0)</f>
        <v>-1.69961822393816E-13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225.82185458224626</v>
      </c>
      <c r="BJ109" s="60">
        <f t="shared" si="92"/>
        <v>363.02009369315243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23.274524454204734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2.2775720127551897E-8</v>
      </c>
      <c r="BS109" s="24">
        <f t="shared" si="63"/>
        <v>23.274524476980453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207.00000000000006</v>
      </c>
      <c r="BZ109" s="14">
        <f>BY109*VLOOKUP('Données projet'!$B$12,Paramètres!$A$1:$I$89,3,0)*VLOOKUP('Données projet'!$B$12,Paramètres!$A$1:$I$89,5,0)</f>
        <v>222.81480000000008</v>
      </c>
      <c r="CA109" s="14">
        <f t="shared" si="93"/>
        <v>54.726215188137907</v>
      </c>
      <c r="CB109" s="22">
        <f t="shared" si="64"/>
        <v>483.38393478600693</v>
      </c>
      <c r="CC109" s="60">
        <f t="shared" si="65"/>
        <v>776.71726811934025</v>
      </c>
      <c r="CD109" s="60">
        <f ca="1">AVERAGE(OFFSET($CC$3,0,0,'Données projet'!$E$12+1,1))-AVERAGE(OFFSET($H$3,0,0,'Données projet'!$E$12+1,1))</f>
        <v>380.16582491288449</v>
      </c>
      <c r="CE109" s="60">
        <f t="shared" si="94"/>
        <v>166.97658184507776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</v>
      </c>
      <c r="CT109" s="13">
        <f>IF('Données projet'!$A$140&gt;35,CT108+CS109-DB108,IF(A109&lt;'Données projet'!$A$140,$CQ$205^A109,IF(A109='Données projet'!$A$140,'Données projet'!$B$140,CT108+CS109-DB108)))</f>
        <v>207.00000000000006</v>
      </c>
      <c r="CU109" s="18">
        <f>CT109*VLOOKUP('Données projet'!$B$13,Paramètres!$A$1:$I$89,3,0)*VLOOKUP('Données projet'!$B$13,Paramètres!$A$1:$I$89,5,0)</f>
        <v>200.21040000000005</v>
      </c>
      <c r="CV109" s="14">
        <f t="shared" si="95"/>
        <v>49.790404447235048</v>
      </c>
      <c r="CW109" s="22">
        <f t="shared" si="67"/>
        <v>435.41806774560109</v>
      </c>
      <c r="CX109" s="60">
        <f t="shared" si="68"/>
        <v>728.75140107893435</v>
      </c>
      <c r="CY109" s="60">
        <f ca="1">AVERAGE(OFFSET($CX$3,0,0,'Données projet'!$E$13+1,1))-AVERAGE(OFFSET($H$3,0,0,'Données projet'!$E$13+1,1))</f>
        <v>345.71694170753534</v>
      </c>
      <c r="CZ109" s="60">
        <f t="shared" si="96"/>
        <v>154.08406475869634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246.10559999999958</v>
      </c>
      <c r="P110" s="14">
        <f t="shared" si="87"/>
        <v>59.751253234371873</v>
      </c>
      <c r="Q110" s="22">
        <f t="shared" si="107"/>
        <v>532.70068604986363</v>
      </c>
      <c r="R110" s="60">
        <f t="shared" si="55"/>
        <v>826.03401938319689</v>
      </c>
      <c r="S110" s="60">
        <f ca="1">AVERAGE(OFFSET($R$3,0,0,'Données projet'!$E$9+1,1))-AVERAGE(OFFSET($H$3,0,0,'Données projet'!$E$9+1,1))</f>
        <v>430.21146937947236</v>
      </c>
      <c r="T110" s="60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3.4</v>
      </c>
      <c r="AI110" s="14">
        <f>IF('Données projet'!$A$62&gt;35,AI109+AH110-AQ109,IF(A110&lt;'Données projet'!$A$62,$AF$205^A110,IF(A110='Données projet'!$A$62,'Données projet'!$B$62,AI109+AH110-AQ109)))</f>
        <v>255.8000000000001</v>
      </c>
      <c r="AJ110" s="14">
        <f>AI110*VLOOKUP('Données projet'!$B$10,Paramètres!$A$1:$I$89,3,0)*VLOOKUP('Données projet'!$B$10,Paramètres!$A$1:$I$89,5,0)</f>
        <v>243.4192800000001</v>
      </c>
      <c r="AK110" s="14">
        <f t="shared" si="89"/>
        <v>59.174598437405322</v>
      </c>
      <c r="AL110" s="22">
        <f t="shared" si="58"/>
        <v>527.01767161181442</v>
      </c>
      <c r="AM110" s="60">
        <f t="shared" si="59"/>
        <v>820.35100494514768</v>
      </c>
      <c r="AN110" s="60">
        <f ca="1">AVERAGE(OFFSET($AM$3,0,0,'Données projet'!$E$10+1,1))-AVERAGE(OFFSET($H$3,0,0,'Données projet'!$E$10+1,1))</f>
        <v>370.04285308422544</v>
      </c>
      <c r="AO110" s="60">
        <f t="shared" si="90"/>
        <v>218.53758068502731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-2.8421709430404007E-13</v>
      </c>
      <c r="BE110" s="14">
        <f>BD110*VLOOKUP('Données projet'!$B$11,Paramètres!$A$1:$I$89,3,0)*VLOOKUP('Données projet'!$B$11,Paramètres!$A$1:$I$89,5,0)</f>
        <v>-1.69961822393816E-13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225.82185458224626</v>
      </c>
      <c r="BJ110" s="60">
        <f t="shared" si="92"/>
        <v>363.02009369315243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22.818125225715953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1.6104866148598886E-8</v>
      </c>
      <c r="BS110" s="24">
        <f t="shared" si="63"/>
        <v>22.81812524182082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210.00000000000006</v>
      </c>
      <c r="BZ110" s="14">
        <f>BY110*VLOOKUP('Données projet'!$B$12,Paramètres!$A$1:$I$89,3,0)*VLOOKUP('Données projet'!$B$12,Paramètres!$A$1:$I$89,5,0)</f>
        <v>226.04400000000007</v>
      </c>
      <c r="CA110" s="14">
        <f t="shared" si="93"/>
        <v>55.426440039423504</v>
      </c>
      <c r="CB110" s="22">
        <f t="shared" si="64"/>
        <v>490.22768306866277</v>
      </c>
      <c r="CC110" s="60">
        <f t="shared" si="65"/>
        <v>783.56101640199608</v>
      </c>
      <c r="CD110" s="60">
        <f ca="1">AVERAGE(OFFSET($CC$3,0,0,'Données projet'!$E$12+1,1))-AVERAGE(OFFSET($H$3,0,0,'Données projet'!$E$12+1,1))</f>
        <v>380.16582491288449</v>
      </c>
      <c r="CE110" s="60">
        <f t="shared" si="94"/>
        <v>166.97658184507776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</v>
      </c>
      <c r="CT110" s="13">
        <f>IF('Données projet'!$A$140&gt;35,CT109+CS110-DB109,IF(A110&lt;'Données projet'!$A$140,$CQ$205^A110,IF(A110='Données projet'!$A$140,'Données projet'!$B$140,CT109+CS110-DB109)))</f>
        <v>210.00000000000006</v>
      </c>
      <c r="CU110" s="18">
        <f>CT110*VLOOKUP('Données projet'!$B$13,Paramètres!$A$1:$I$89,3,0)*VLOOKUP('Données projet'!$B$13,Paramètres!$A$1:$I$89,5,0)</f>
        <v>203.11200000000008</v>
      </c>
      <c r="CV110" s="14">
        <f t="shared" si="95"/>
        <v>50.427475336015782</v>
      </c>
      <c r="CW110" s="22">
        <f t="shared" si="67"/>
        <v>441.58125287689427</v>
      </c>
      <c r="CX110" s="60">
        <f t="shared" si="68"/>
        <v>734.91458621022753</v>
      </c>
      <c r="CY110" s="60">
        <f ca="1">AVERAGE(OFFSET($CX$3,0,0,'Données projet'!$E$13+1,1))-AVERAGE(OFFSET($H$3,0,0,'Données projet'!$E$13+1,1))</f>
        <v>345.71694170753534</v>
      </c>
      <c r="CZ110" s="60">
        <f t="shared" si="96"/>
        <v>154.08406475869634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249.72479999999959</v>
      </c>
      <c r="P111" s="14">
        <f t="shared" si="87"/>
        <v>60.527007137298092</v>
      </c>
      <c r="Q111" s="22">
        <f t="shared" si="107"/>
        <v>540.35523076412676</v>
      </c>
      <c r="R111" s="60">
        <f t="shared" si="55"/>
        <v>833.68856409746013</v>
      </c>
      <c r="S111" s="60">
        <f ca="1">AVERAGE(OFFSET($R$3,0,0,'Données projet'!$E$9+1,1))-AVERAGE(OFFSET($H$3,0,0,'Données projet'!$E$9+1,1))</f>
        <v>430.21146937947236</v>
      </c>
      <c r="T111" s="60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3.4</v>
      </c>
      <c r="AI111" s="14">
        <f>IF('Données projet'!$A$62&gt;35,AI110+AH111-AQ110,IF(A111&lt;'Données projet'!$A$62,$AF$205^A111,IF(A111='Données projet'!$A$62,'Données projet'!$B$62,AI110+AH111-AQ110)))</f>
        <v>259.2000000000001</v>
      </c>
      <c r="AJ111" s="14">
        <f>AI111*VLOOKUP('Données projet'!$B$10,Paramètres!$A$1:$I$89,3,0)*VLOOKUP('Données projet'!$B$10,Paramètres!$A$1:$I$89,5,0)</f>
        <v>246.65472000000008</v>
      </c>
      <c r="AK111" s="14">
        <f t="shared" si="89"/>
        <v>59.869038818016278</v>
      </c>
      <c r="AL111" s="22">
        <f t="shared" si="58"/>
        <v>533.86221327471185</v>
      </c>
      <c r="AM111" s="60">
        <f t="shared" si="59"/>
        <v>827.19554660804511</v>
      </c>
      <c r="AN111" s="60">
        <f ca="1">AVERAGE(OFFSET($AM$3,0,0,'Données projet'!$E$10+1,1))-AVERAGE(OFFSET($H$3,0,0,'Données projet'!$E$10+1,1))</f>
        <v>370.04285308422544</v>
      </c>
      <c r="AO111" s="60">
        <f t="shared" si="90"/>
        <v>218.53758068502731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-2.8421709430404007E-13</v>
      </c>
      <c r="BE111" s="14">
        <f>BD111*VLOOKUP('Données projet'!$B$11,Paramètres!$A$1:$I$89,3,0)*VLOOKUP('Données projet'!$B$11,Paramètres!$A$1:$I$89,5,0)</f>
        <v>-1.69961822393816E-13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225.82185458224626</v>
      </c>
      <c r="BJ111" s="60">
        <f t="shared" si="92"/>
        <v>363.02009369315243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22.370675707721794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1.1387860063775949E-8</v>
      </c>
      <c r="BS111" s="24">
        <f t="shared" si="63"/>
        <v>22.370675719109656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213.00000000000006</v>
      </c>
      <c r="BZ111" s="14">
        <f>BY111*VLOOKUP('Données projet'!$B$12,Paramètres!$A$1:$I$89,3,0)*VLOOKUP('Données projet'!$B$12,Paramètres!$A$1:$I$89,5,0)</f>
        <v>229.27320000000006</v>
      </c>
      <c r="CA111" s="14">
        <f t="shared" si="93"/>
        <v>56.125501442527366</v>
      </c>
      <c r="CB111" s="22">
        <f t="shared" si="64"/>
        <v>497.069405012402</v>
      </c>
      <c r="CC111" s="60">
        <f t="shared" si="65"/>
        <v>790.40273834573532</v>
      </c>
      <c r="CD111" s="60">
        <f ca="1">AVERAGE(OFFSET($CC$3,0,0,'Données projet'!$E$12+1,1))-AVERAGE(OFFSET($H$3,0,0,'Données projet'!$E$12+1,1))</f>
        <v>380.16582491288449</v>
      </c>
      <c r="CE111" s="60">
        <f t="shared" si="94"/>
        <v>166.97658184507776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</v>
      </c>
      <c r="CT111" s="13">
        <f>IF('Données projet'!$A$140&gt;35,CT110+CS111-DB110,IF(A111&lt;'Données projet'!$A$140,$CQ$205^A111,IF(A111='Données projet'!$A$140,'Données projet'!$B$140,CT110+CS111-DB110)))</f>
        <v>213.00000000000006</v>
      </c>
      <c r="CU111" s="18">
        <f>CT111*VLOOKUP('Données projet'!$B$13,Paramètres!$A$1:$I$89,3,0)*VLOOKUP('Données projet'!$B$13,Paramètres!$A$1:$I$89,5,0)</f>
        <v>206.01360000000005</v>
      </c>
      <c r="CV111" s="14">
        <f t="shared" si="95"/>
        <v>51.063487709141484</v>
      </c>
      <c r="CW111" s="22">
        <f t="shared" si="67"/>
        <v>447.74259442675481</v>
      </c>
      <c r="CX111" s="60">
        <f t="shared" si="68"/>
        <v>741.07592776008812</v>
      </c>
      <c r="CY111" s="60">
        <f ca="1">AVERAGE(OFFSET($CX$3,0,0,'Données projet'!$E$13+1,1))-AVERAGE(OFFSET($H$3,0,0,'Données projet'!$E$13+1,1))</f>
        <v>345.71694170753534</v>
      </c>
      <c r="CZ111" s="60">
        <f t="shared" si="96"/>
        <v>154.08406475869634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253.34399999999957</v>
      </c>
      <c r="P112" s="14">
        <f t="shared" si="87"/>
        <v>61.301453431926198</v>
      </c>
      <c r="Q112" s="22">
        <f t="shared" si="107"/>
        <v>548.00749806060401</v>
      </c>
      <c r="R112" s="60">
        <f t="shared" si="55"/>
        <v>841.34083139393738</v>
      </c>
      <c r="S112" s="60">
        <f ca="1">AVERAGE(OFFSET($R$3,0,0,'Données projet'!$E$9+1,1))-AVERAGE(OFFSET($H$3,0,0,'Données projet'!$E$9+1,1))</f>
        <v>430.21146937947236</v>
      </c>
      <c r="T112" s="60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3.4</v>
      </c>
      <c r="AI112" s="14">
        <f>IF('Données projet'!$A$62&gt;35,AI111+AH112-AQ111,IF(A112&lt;'Données projet'!$A$62,$AF$205^A112,IF(A112='Données projet'!$A$62,'Données projet'!$B$62,AI111+AH112-AQ111)))</f>
        <v>262.60000000000008</v>
      </c>
      <c r="AJ112" s="14">
        <f>AI112*VLOOKUP('Données projet'!$B$10,Paramètres!$A$1:$I$89,3,0)*VLOOKUP('Données projet'!$B$10,Paramètres!$A$1:$I$89,5,0)</f>
        <v>249.89016000000007</v>
      </c>
      <c r="AK112" s="14">
        <f t="shared" si="89"/>
        <v>60.562419667970957</v>
      </c>
      <c r="AL112" s="22">
        <f t="shared" si="58"/>
        <v>540.70490958838275</v>
      </c>
      <c r="AM112" s="60">
        <f t="shared" si="59"/>
        <v>834.03824292171612</v>
      </c>
      <c r="AN112" s="60">
        <f ca="1">AVERAGE(OFFSET($AM$3,0,0,'Données projet'!$E$10+1,1))-AVERAGE(OFFSET($H$3,0,0,'Données projet'!$E$10+1,1))</f>
        <v>370.04285308422544</v>
      </c>
      <c r="AO112" s="60">
        <f t="shared" si="90"/>
        <v>218.53758068502731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-2.8421709430404007E-13</v>
      </c>
      <c r="BE112" s="14">
        <f>BD112*VLOOKUP('Données projet'!$B$11,Paramètres!$A$1:$I$89,3,0)*VLOOKUP('Données projet'!$B$11,Paramètres!$A$1:$I$89,5,0)</f>
        <v>-1.69961822393816E-13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225.82185458224626</v>
      </c>
      <c r="BJ112" s="60">
        <f t="shared" si="92"/>
        <v>363.02009369315243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21.932000401858243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8.0524330742994428E-9</v>
      </c>
      <c r="BS112" s="24">
        <f t="shared" si="63"/>
        <v>21.932000409910675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216.00000000000006</v>
      </c>
      <c r="BZ112" s="14">
        <f>BY112*VLOOKUP('Données projet'!$B$12,Paramètres!$A$1:$I$89,3,0)*VLOOKUP('Données projet'!$B$12,Paramètres!$A$1:$I$89,5,0)</f>
        <v>232.50240000000005</v>
      </c>
      <c r="CA112" s="14">
        <f t="shared" si="93"/>
        <v>56.823417677671891</v>
      </c>
      <c r="CB112" s="22">
        <f t="shared" si="64"/>
        <v>503.90913245527855</v>
      </c>
      <c r="CC112" s="60">
        <f t="shared" si="65"/>
        <v>797.24246578861187</v>
      </c>
      <c r="CD112" s="60">
        <f ca="1">AVERAGE(OFFSET($CC$3,0,0,'Données projet'!$E$12+1,1))-AVERAGE(OFFSET($H$3,0,0,'Données projet'!$E$12+1,1))</f>
        <v>380.16582491288449</v>
      </c>
      <c r="CE112" s="60">
        <f t="shared" si="94"/>
        <v>166.97658184507776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</v>
      </c>
      <c r="CT112" s="13">
        <f>IF('Données projet'!$A$140&gt;35,CT111+CS112-DB111,IF(A112&lt;'Données projet'!$A$140,$CQ$205^A112,IF(A112='Données projet'!$A$140,'Données projet'!$B$140,CT111+CS112-DB111)))</f>
        <v>216.00000000000006</v>
      </c>
      <c r="CU112" s="18">
        <f>CT112*VLOOKUP('Données projet'!$B$13,Paramètres!$A$1:$I$89,3,0)*VLOOKUP('Données projet'!$B$13,Paramètres!$A$1:$I$89,5,0)</f>
        <v>208.91520000000008</v>
      </c>
      <c r="CV112" s="14">
        <f t="shared" si="95"/>
        <v>51.698458198123369</v>
      </c>
      <c r="CW112" s="22">
        <f t="shared" si="67"/>
        <v>453.90212136173164</v>
      </c>
      <c r="CX112" s="60">
        <f t="shared" si="68"/>
        <v>747.23545469506496</v>
      </c>
      <c r="CY112" s="60">
        <f ca="1">AVERAGE(OFFSET($CX$3,0,0,'Données projet'!$E$13+1,1))-AVERAGE(OFFSET($H$3,0,0,'Données projet'!$E$13+1,1))</f>
        <v>345.71694170753534</v>
      </c>
      <c r="CZ112" s="60">
        <f t="shared" si="96"/>
        <v>154.08406475869634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256.96319999999957</v>
      </c>
      <c r="P113" s="14">
        <f t="shared" si="87"/>
        <v>62.07461295683791</v>
      </c>
      <c r="Q113" s="22">
        <f t="shared" si="107"/>
        <v>555.6575242331586</v>
      </c>
      <c r="R113" s="60">
        <f t="shared" si="55"/>
        <v>848.99085756649197</v>
      </c>
      <c r="S113" s="60">
        <f ca="1">AVERAGE(OFFSET($R$3,0,0,'Données projet'!$E$9+1,1))-AVERAGE(OFFSET($H$3,0,0,'Données projet'!$E$9+1,1))</f>
        <v>430.21146937947236</v>
      </c>
      <c r="T113" s="60">
        <f t="shared" si="88"/>
        <v>231.36959598460686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266</v>
      </c>
      <c r="AG113" s="13">
        <f>VLOOKUP(A113,'Données projet'!$A$61:$I$81,9,0)</f>
        <v>3.4</v>
      </c>
      <c r="AH113" s="13">
        <f t="array" ref="AH113">INDEX(AG:AG,MIN(IF(ISNUMBER(AG113:AG309),ROW(AG113:AG309),"")))</f>
        <v>3.4</v>
      </c>
      <c r="AI113" s="14">
        <f>IF('Données projet'!$A$62&gt;35,AI112+AH113-AQ112,IF(A113&lt;'Données projet'!$A$62,$AF$205^A113,IF(A113='Données projet'!$A$62,'Données projet'!$B$62,AI112+AH113-AQ112)))</f>
        <v>266.00000000000006</v>
      </c>
      <c r="AJ113" s="14">
        <f>AI113*VLOOKUP('Données projet'!$B$10,Paramètres!$A$1:$I$89,3,0)*VLOOKUP('Données projet'!$B$10,Paramètres!$A$1:$I$89,5,0)</f>
        <v>253.12560000000005</v>
      </c>
      <c r="AK113" s="14">
        <f t="shared" si="89"/>
        <v>61.254756291614335</v>
      </c>
      <c r="AL113" s="22">
        <f t="shared" si="58"/>
        <v>547.54578720789493</v>
      </c>
      <c r="AM113" s="60">
        <f t="shared" si="59"/>
        <v>840.8791205412283</v>
      </c>
      <c r="AN113" s="60">
        <f ca="1">AVERAGE(OFFSET($AM$3,0,0,'Données projet'!$E$10+1,1))-AVERAGE(OFFSET($H$3,0,0,'Données projet'!$E$10+1,1))</f>
        <v>370.04285308422544</v>
      </c>
      <c r="AO113" s="60">
        <f t="shared" si="90"/>
        <v>218.53758068502731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-2.8421709430404007E-13</v>
      </c>
      <c r="BE113" s="14">
        <f>BD113*VLOOKUP('Données projet'!$B$11,Paramètres!$A$1:$I$89,3,0)*VLOOKUP('Données projet'!$B$11,Paramètres!$A$1:$I$89,5,0)</f>
        <v>-1.69961822393816E-13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225.82185458224626</v>
      </c>
      <c r="BJ113" s="60">
        <f t="shared" si="92"/>
        <v>363.02009369315243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21.501927251177161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5.6939300318879743E-9</v>
      </c>
      <c r="BS113" s="24">
        <f t="shared" si="63"/>
        <v>21.501927256871092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219.00000000000006</v>
      </c>
      <c r="BZ113" s="14">
        <f>BY113*VLOOKUP('Données projet'!$B$12,Paramètres!$A$1:$I$89,3,0)*VLOOKUP('Données projet'!$B$12,Paramètres!$A$1:$I$89,5,0)</f>
        <v>235.73160000000004</v>
      </c>
      <c r="CA113" s="14">
        <f t="shared" si="93"/>
        <v>57.520206488125268</v>
      </c>
      <c r="CB113" s="22">
        <f t="shared" si="64"/>
        <v>510.7468963001516</v>
      </c>
      <c r="CC113" s="60">
        <f t="shared" si="65"/>
        <v>804.08022963348492</v>
      </c>
      <c r="CD113" s="60">
        <f ca="1">AVERAGE(OFFSET($CC$3,0,0,'Données projet'!$E$12+1,1))-AVERAGE(OFFSET($H$3,0,0,'Données projet'!$E$12+1,1))</f>
        <v>380.16582491288449</v>
      </c>
      <c r="CE113" s="60">
        <f t="shared" si="94"/>
        <v>166.97658184507776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3</v>
      </c>
      <c r="CT113" s="13">
        <f>IF('Données projet'!$A$140&gt;35,CT112+CS113-DB112,IF(A113&lt;'Données projet'!$A$140,$CQ$205^A113,IF(A113='Données projet'!$A$140,'Données projet'!$B$140,CT112+CS113-DB112)))</f>
        <v>219.00000000000006</v>
      </c>
      <c r="CU113" s="18">
        <f>CT113*VLOOKUP('Données projet'!$B$13,Paramètres!$A$1:$I$89,3,0)*VLOOKUP('Données projet'!$B$13,Paramètres!$A$1:$I$89,5,0)</f>
        <v>211.81680000000006</v>
      </c>
      <c r="CV113" s="14">
        <f t="shared" si="95"/>
        <v>52.332402945946832</v>
      </c>
      <c r="CW113" s="22">
        <f t="shared" si="67"/>
        <v>460.05986179752421</v>
      </c>
      <c r="CX113" s="60">
        <f t="shared" si="68"/>
        <v>753.39319513085752</v>
      </c>
      <c r="CY113" s="60">
        <f ca="1">AVERAGE(OFFSET($CX$3,0,0,'Données projet'!$E$13+1,1))-AVERAGE(OFFSET($H$3,0,0,'Données projet'!$E$13+1,1))</f>
        <v>345.71694170753534</v>
      </c>
      <c r="CZ113" s="60">
        <f t="shared" si="96"/>
        <v>154.08406475869634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260.58239999999961</v>
      </c>
      <c r="P114" s="14">
        <f t="shared" si="87"/>
        <v>62.846505929896793</v>
      </c>
      <c r="Q114" s="22">
        <f t="shared" si="107"/>
        <v>563.30534449456957</v>
      </c>
      <c r="R114" s="60">
        <f t="shared" si="55"/>
        <v>856.63867782790294</v>
      </c>
      <c r="S114" s="60">
        <f ca="1">AVERAGE(OFFSET($R$3,0,0,'Données projet'!$E$9+1,1))-AVERAGE(OFFSET($H$3,0,0,'Données projet'!$E$9+1,1))</f>
        <v>430.21146937947236</v>
      </c>
      <c r="T114" s="60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3.4</v>
      </c>
      <c r="AI114" s="14">
        <f>IF('Données projet'!$A$62&gt;35,AI113+AH114-AQ113,IF(A114&lt;'Données projet'!$A$62,$AF$205^A114,IF(A114='Données projet'!$A$62,'Données projet'!$B$62,AI113+AH114-AQ113)))</f>
        <v>269.40000000000003</v>
      </c>
      <c r="AJ114" s="14">
        <f>AI114*VLOOKUP('Données projet'!$B$10,Paramètres!$A$1:$I$89,3,0)*VLOOKUP('Données projet'!$B$10,Paramètres!$A$1:$I$89,5,0)</f>
        <v>256.36104</v>
      </c>
      <c r="AK114" s="14">
        <f t="shared" si="89"/>
        <v>61.946063579556444</v>
      </c>
      <c r="AL114" s="22">
        <f t="shared" si="58"/>
        <v>554.38487206772743</v>
      </c>
      <c r="AM114" s="60">
        <f t="shared" si="59"/>
        <v>847.71820540106069</v>
      </c>
      <c r="AN114" s="60">
        <f ca="1">AVERAGE(OFFSET($AM$3,0,0,'Données projet'!$E$10+1,1))-AVERAGE(OFFSET($H$3,0,0,'Données projet'!$E$10+1,1))</f>
        <v>370.04285308422544</v>
      </c>
      <c r="AO114" s="60">
        <f t="shared" si="90"/>
        <v>218.53758068502731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-2.8421709430404007E-13</v>
      </c>
      <c r="BE114" s="14">
        <f>BD114*VLOOKUP('Données projet'!$B$11,Paramètres!$A$1:$I$89,3,0)*VLOOKUP('Données projet'!$B$11,Paramètres!$A$1:$I$89,5,0)</f>
        <v>-1.69961822393816E-13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225.82185458224626</v>
      </c>
      <c r="BJ114" s="60">
        <f t="shared" si="92"/>
        <v>363.02009369315243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21.080287572662215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4.0262165371497214E-9</v>
      </c>
      <c r="BS114" s="24">
        <f t="shared" si="63"/>
        <v>21.080287576688431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</v>
      </c>
      <c r="BY114" s="13">
        <f>IF('Données projet'!$A$114&gt;35,BY113+BX114-CG113,IF(A114&lt;'Données projet'!$A$114,$BV$205^A114,IF(A114='Données projet'!$A$114,'Données projet'!$B$114,BY113+BX114-CG113)))</f>
        <v>222.00000000000006</v>
      </c>
      <c r="BZ114" s="14">
        <f>BY114*VLOOKUP('Données projet'!$B$12,Paramètres!$A$1:$I$89,3,0)*VLOOKUP('Données projet'!$B$12,Paramètres!$A$1:$I$89,5,0)</f>
        <v>238.96080000000006</v>
      </c>
      <c r="CA114" s="14">
        <f t="shared" si="93"/>
        <v>58.215885103108349</v>
      </c>
      <c r="CB114" s="22">
        <f t="shared" si="64"/>
        <v>517.5827265545804</v>
      </c>
      <c r="CC114" s="60">
        <f t="shared" si="65"/>
        <v>810.91605988791366</v>
      </c>
      <c r="CD114" s="60">
        <f ca="1">AVERAGE(OFFSET($CC$3,0,0,'Données projet'!$E$12+1,1))-AVERAGE(OFFSET($H$3,0,0,'Données projet'!$E$12+1,1))</f>
        <v>380.16582491288449</v>
      </c>
      <c r="CE114" s="60">
        <f t="shared" si="94"/>
        <v>166.97658184507776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</v>
      </c>
      <c r="CT114" s="13">
        <f>IF('Données projet'!$A$140&gt;35,CT113+CS114-DB113,IF(A114&lt;'Données projet'!$A$140,$CQ$205^A114,IF(A114='Données projet'!$A$140,'Données projet'!$B$140,CT113+CS114-DB113)))</f>
        <v>222.00000000000006</v>
      </c>
      <c r="CU114" s="18">
        <f>CT114*VLOOKUP('Données projet'!$B$13,Paramètres!$A$1:$I$89,3,0)*VLOOKUP('Données projet'!$B$13,Paramètres!$A$1:$I$89,5,0)</f>
        <v>214.71840000000009</v>
      </c>
      <c r="CV114" s="14">
        <f t="shared" si="95"/>
        <v>52.965337627912746</v>
      </c>
      <c r="CW114" s="22">
        <f t="shared" si="67"/>
        <v>466.21584303528147</v>
      </c>
      <c r="CX114" s="60">
        <f t="shared" si="68"/>
        <v>759.54917636861478</v>
      </c>
      <c r="CY114" s="60">
        <f ca="1">AVERAGE(OFFSET($CX$3,0,0,'Données projet'!$E$13+1,1))-AVERAGE(OFFSET($H$3,0,0,'Données projet'!$E$13+1,1))</f>
        <v>345.71694170753534</v>
      </c>
      <c r="CZ114" s="60">
        <f t="shared" si="96"/>
        <v>154.08406475869634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264.20159999999959</v>
      </c>
      <c r="P115" s="14">
        <f t="shared" si="87"/>
        <v>63.617151975096654</v>
      </c>
      <c r="Q115" s="22">
        <f t="shared" si="107"/>
        <v>570.95099302329265</v>
      </c>
      <c r="R115" s="60">
        <f t="shared" si="55"/>
        <v>864.28432635662602</v>
      </c>
      <c r="S115" s="60">
        <f ca="1">AVERAGE(OFFSET($R$3,0,0,'Données projet'!$E$9+1,1))-AVERAGE(OFFSET($H$3,0,0,'Données projet'!$E$9+1,1))</f>
        <v>430.21146937947236</v>
      </c>
      <c r="T115" s="60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3.4</v>
      </c>
      <c r="AI115" s="14">
        <f>IF('Données projet'!$A$62&gt;35,AI114+AH115-AQ114,IF(A115&lt;'Données projet'!$A$62,$AF$205^A115,IF(A115='Données projet'!$A$62,'Données projet'!$B$62,AI114+AH115-AQ114)))</f>
        <v>272.8</v>
      </c>
      <c r="AJ115" s="14">
        <f>AI115*VLOOKUP('Données projet'!$B$10,Paramètres!$A$1:$I$89,3,0)*VLOOKUP('Données projet'!$B$10,Paramètres!$A$1:$I$89,5,0)</f>
        <v>259.59648000000004</v>
      </c>
      <c r="AK115" s="14">
        <f t="shared" si="89"/>
        <v>62.63635602493509</v>
      </c>
      <c r="AL115" s="22">
        <f t="shared" si="58"/>
        <v>561.22218941009533</v>
      </c>
      <c r="AM115" s="60">
        <f t="shared" si="59"/>
        <v>854.55552274342858</v>
      </c>
      <c r="AN115" s="60">
        <f ca="1">AVERAGE(OFFSET($AM$3,0,0,'Données projet'!$E$10+1,1))-AVERAGE(OFFSET($H$3,0,0,'Données projet'!$E$10+1,1))</f>
        <v>370.04285308422544</v>
      </c>
      <c r="AO115" s="60">
        <f t="shared" si="90"/>
        <v>218.53758068502731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-2.8421709430404007E-13</v>
      </c>
      <c r="BE115" s="14">
        <f>BD115*VLOOKUP('Données projet'!$B$11,Paramètres!$A$1:$I$89,3,0)*VLOOKUP('Données projet'!$B$11,Paramètres!$A$1:$I$89,5,0)</f>
        <v>-1.69961822393816E-13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225.82185458224626</v>
      </c>
      <c r="BJ115" s="60">
        <f t="shared" si="92"/>
        <v>363.02009369315243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20.666915991068134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2.8469650159439872E-9</v>
      </c>
      <c r="BS115" s="24">
        <f t="shared" si="63"/>
        <v>20.666915993915097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</v>
      </c>
      <c r="BY115" s="13">
        <f>IF('Données projet'!$A$114&gt;35,BY114+BX115-CG114,IF(A115&lt;'Données projet'!$A$114,$BV$205^A115,IF(A115='Données projet'!$A$114,'Données projet'!$B$114,BY114+BX115-CG114)))</f>
        <v>225.00000000000006</v>
      </c>
      <c r="BZ115" s="14">
        <f>BY115*VLOOKUP('Données projet'!$B$12,Paramètres!$A$1:$I$89,3,0)*VLOOKUP('Données projet'!$B$12,Paramètres!$A$1:$I$89,5,0)</f>
        <v>242.19000000000005</v>
      </c>
      <c r="CA115" s="14">
        <f t="shared" si="93"/>
        <v>58.910470259429353</v>
      </c>
      <c r="CB115" s="22">
        <f t="shared" si="64"/>
        <v>524.41665236850611</v>
      </c>
      <c r="CC115" s="60">
        <f t="shared" si="65"/>
        <v>817.74998570183948</v>
      </c>
      <c r="CD115" s="60">
        <f ca="1">AVERAGE(OFFSET($CC$3,0,0,'Données projet'!$E$12+1,1))-AVERAGE(OFFSET($H$3,0,0,'Données projet'!$E$12+1,1))</f>
        <v>380.16582491288449</v>
      </c>
      <c r="CE115" s="60">
        <f t="shared" si="94"/>
        <v>166.97658184507776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</v>
      </c>
      <c r="CT115" s="13">
        <f>IF('Données projet'!$A$140&gt;35,CT114+CS115-DB114,IF(A115&lt;'Données projet'!$A$140,$CQ$205^A115,IF(A115='Données projet'!$A$140,'Données projet'!$B$140,CT114+CS115-DB114)))</f>
        <v>225.00000000000006</v>
      </c>
      <c r="CU115" s="18">
        <f>CT115*VLOOKUP('Données projet'!$B$13,Paramètres!$A$1:$I$89,3,0)*VLOOKUP('Données projet'!$B$13,Paramètres!$A$1:$I$89,5,0)</f>
        <v>217.62000000000006</v>
      </c>
      <c r="CV115" s="14">
        <f t="shared" si="95"/>
        <v>53.597277471320098</v>
      </c>
      <c r="CW115" s="22">
        <f t="shared" si="67"/>
        <v>472.37009159588257</v>
      </c>
      <c r="CX115" s="60">
        <f t="shared" si="68"/>
        <v>765.70342492921588</v>
      </c>
      <c r="CY115" s="60">
        <f ca="1">AVERAGE(OFFSET($CX$3,0,0,'Données projet'!$E$13+1,1))-AVERAGE(OFFSET($H$3,0,0,'Données projet'!$E$13+1,1))</f>
        <v>345.71694170753534</v>
      </c>
      <c r="CZ115" s="60">
        <f t="shared" si="96"/>
        <v>154.08406475869634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267.82079999999956</v>
      </c>
      <c r="P116" s="14">
        <f t="shared" si="87"/>
        <v>64.386570147897245</v>
      </c>
      <c r="Q116" s="22">
        <f t="shared" si="107"/>
        <v>578.59450300758692</v>
      </c>
      <c r="R116" s="60">
        <f t="shared" si="55"/>
        <v>871.92783634092029</v>
      </c>
      <c r="S116" s="60">
        <f ca="1">AVERAGE(OFFSET($R$3,0,0,'Données projet'!$E$9+1,1))-AVERAGE(OFFSET($H$3,0,0,'Données projet'!$E$9+1,1))</f>
        <v>430.21146937947236</v>
      </c>
      <c r="T116" s="60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3.4</v>
      </c>
      <c r="AI116" s="14">
        <f>IF('Données projet'!$A$62&gt;35,AI115+AH116-AQ115,IF(A116&lt;'Données projet'!$A$62,$AF$205^A116,IF(A116='Données projet'!$A$62,'Données projet'!$B$62,AI115+AH116-AQ115)))</f>
        <v>276.2</v>
      </c>
      <c r="AJ116" s="14">
        <f>AI116*VLOOKUP('Données projet'!$B$10,Paramètres!$A$1:$I$89,3,0)*VLOOKUP('Données projet'!$B$10,Paramètres!$A$1:$I$89,5,0)</f>
        <v>262.83192000000003</v>
      </c>
      <c r="AK116" s="14">
        <f t="shared" si="89"/>
        <v>63.325647738844125</v>
      </c>
      <c r="AL116" s="22">
        <f t="shared" si="58"/>
        <v>568.05776381182022</v>
      </c>
      <c r="AM116" s="60">
        <f t="shared" si="59"/>
        <v>861.39109714515348</v>
      </c>
      <c r="AN116" s="60">
        <f ca="1">AVERAGE(OFFSET($AM$3,0,0,'Données projet'!$E$10+1,1))-AVERAGE(OFFSET($H$3,0,0,'Données projet'!$E$10+1,1))</f>
        <v>370.04285308422544</v>
      </c>
      <c r="AO116" s="60">
        <f t="shared" si="90"/>
        <v>218.53758068502731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-2.8421709430404007E-13</v>
      </c>
      <c r="BE116" s="14">
        <f>BD116*VLOOKUP('Données projet'!$B$11,Paramètres!$A$1:$I$89,3,0)*VLOOKUP('Données projet'!$B$11,Paramètres!$A$1:$I$89,5,0)</f>
        <v>-1.69961822393816E-13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225.82185458224626</v>
      </c>
      <c r="BJ116" s="60">
        <f t="shared" si="92"/>
        <v>363.02009369315243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20.261650374057346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2.0131082685748607E-9</v>
      </c>
      <c r="BS116" s="24">
        <f t="shared" si="63"/>
        <v>20.261650376070456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</v>
      </c>
      <c r="BY116" s="13">
        <f>IF('Données projet'!$A$114&gt;35,BY115+BX116-CG115,IF(A116&lt;'Données projet'!$A$114,$BV$205^A116,IF(A116='Données projet'!$A$114,'Données projet'!$B$114,BY115+BX116-CG115)))</f>
        <v>228.00000000000006</v>
      </c>
      <c r="BZ116" s="14">
        <f>BY116*VLOOKUP('Données projet'!$B$12,Paramètres!$A$1:$I$89,3,0)*VLOOKUP('Données projet'!$B$12,Paramètres!$A$1:$I$89,5,0)</f>
        <v>245.41920000000005</v>
      </c>
      <c r="CA116" s="14">
        <f t="shared" si="93"/>
        <v>59.603978221930504</v>
      </c>
      <c r="CB116" s="22">
        <f t="shared" si="64"/>
        <v>531.24870206986236</v>
      </c>
      <c r="CC116" s="60">
        <f t="shared" si="65"/>
        <v>824.58203540319573</v>
      </c>
      <c r="CD116" s="60">
        <f ca="1">AVERAGE(OFFSET($CC$3,0,0,'Données projet'!$E$12+1,1))-AVERAGE(OFFSET($H$3,0,0,'Données projet'!$E$12+1,1))</f>
        <v>380.16582491288449</v>
      </c>
      <c r="CE116" s="60">
        <f t="shared" si="94"/>
        <v>166.97658184507776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</v>
      </c>
      <c r="CT116" s="13">
        <f>IF('Données projet'!$A$140&gt;35,CT115+CS116-DB115,IF(A116&lt;'Données projet'!$A$140,$CQ$205^A116,IF(A116='Données projet'!$A$140,'Données projet'!$B$140,CT115+CS116-DB115)))</f>
        <v>228.00000000000006</v>
      </c>
      <c r="CU116" s="18">
        <f>CT116*VLOOKUP('Données projet'!$B$13,Paramètres!$A$1:$I$89,3,0)*VLOOKUP('Données projet'!$B$13,Paramètres!$A$1:$I$89,5,0)</f>
        <v>220.52160000000006</v>
      </c>
      <c r="CV116" s="14">
        <f t="shared" si="95"/>
        <v>54.228237274069159</v>
      </c>
      <c r="CW116" s="22">
        <f t="shared" si="67"/>
        <v>478.52263325233724</v>
      </c>
      <c r="CX116" s="60">
        <f t="shared" si="68"/>
        <v>771.85596658567056</v>
      </c>
      <c r="CY116" s="60">
        <f ca="1">AVERAGE(OFFSET($CX$3,0,0,'Données projet'!$E$13+1,1))-AVERAGE(OFFSET($H$3,0,0,'Données projet'!$E$13+1,1))</f>
        <v>345.71694170753534</v>
      </c>
      <c r="CZ116" s="60">
        <f t="shared" si="96"/>
        <v>154.08406475869634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271.43999999999954</v>
      </c>
      <c r="P117" s="14">
        <f t="shared" si="87"/>
        <v>65.154778959151116</v>
      </c>
      <c r="Q117" s="22">
        <f t="shared" si="107"/>
        <v>586.23590668718737</v>
      </c>
      <c r="R117" s="60">
        <f t="shared" si="55"/>
        <v>879.56924002052074</v>
      </c>
      <c r="S117" s="60">
        <f ca="1">AVERAGE(OFFSET($R$3,0,0,'Données projet'!$E$9+1,1))-AVERAGE(OFFSET($H$3,0,0,'Données projet'!$E$9+1,1))</f>
        <v>430.21146937947236</v>
      </c>
      <c r="T117" s="60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3.4</v>
      </c>
      <c r="AI117" s="14">
        <f>IF('Données projet'!$A$62&gt;35,AI116+AH117-AQ116,IF(A117&lt;'Données projet'!$A$62,$AF$205^A117,IF(A117='Données projet'!$A$62,'Données projet'!$B$62,AI116+AH117-AQ116)))</f>
        <v>279.59999999999997</v>
      </c>
      <c r="AJ117" s="14">
        <f>AI117*VLOOKUP('Données projet'!$B$10,Paramètres!$A$1:$I$89,3,0)*VLOOKUP('Données projet'!$B$10,Paramètres!$A$1:$I$89,5,0)</f>
        <v>266.06736000000001</v>
      </c>
      <c r="AK117" s="14">
        <f t="shared" si="89"/>
        <v>64.013952464980747</v>
      </c>
      <c r="AL117" s="22">
        <f t="shared" si="58"/>
        <v>574.89161920984145</v>
      </c>
      <c r="AM117" s="60">
        <f t="shared" si="59"/>
        <v>868.22495254317482</v>
      </c>
      <c r="AN117" s="60">
        <f ca="1">AVERAGE(OFFSET($AM$3,0,0,'Données projet'!$E$10+1,1))-AVERAGE(OFFSET($H$3,0,0,'Données projet'!$E$10+1,1))</f>
        <v>370.04285308422544</v>
      </c>
      <c r="AO117" s="60">
        <f t="shared" si="90"/>
        <v>218.53758068502731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-2.8421709430404007E-13</v>
      </c>
      <c r="BE117" s="14">
        <f>BD117*VLOOKUP('Données projet'!$B$11,Paramètres!$A$1:$I$89,3,0)*VLOOKUP('Données projet'!$B$11,Paramètres!$A$1:$I$89,5,0)</f>
        <v>-1.69961822393816E-13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225.82185458224626</v>
      </c>
      <c r="BJ117" s="60">
        <f t="shared" si="92"/>
        <v>363.02009369315243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19.864331768608519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1.4234825079719936E-9</v>
      </c>
      <c r="BS117" s="24">
        <f t="shared" si="63"/>
        <v>19.864331770032003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</v>
      </c>
      <c r="BY117" s="13">
        <f>IF('Données projet'!$A$114&gt;35,BY116+BX117-CG116,IF(A117&lt;'Données projet'!$A$114,$BV$205^A117,IF(A117='Données projet'!$A$114,'Données projet'!$B$114,BY116+BX117-CG116)))</f>
        <v>231.00000000000006</v>
      </c>
      <c r="BZ117" s="14">
        <f>BY117*VLOOKUP('Données projet'!$B$12,Paramètres!$A$1:$I$89,3,0)*VLOOKUP('Données projet'!$B$12,Paramètres!$A$1:$I$89,5,0)</f>
        <v>248.64840000000004</v>
      </c>
      <c r="CA117" s="14">
        <f t="shared" si="93"/>
        <v>60.296424802828774</v>
      </c>
      <c r="CB117" s="22">
        <f t="shared" si="64"/>
        <v>538.07890319826015</v>
      </c>
      <c r="CC117" s="60">
        <f t="shared" si="65"/>
        <v>831.41223653159341</v>
      </c>
      <c r="CD117" s="60">
        <f ca="1">AVERAGE(OFFSET($CC$3,0,0,'Données projet'!$E$12+1,1))-AVERAGE(OFFSET($H$3,0,0,'Données projet'!$E$12+1,1))</f>
        <v>380.16582491288449</v>
      </c>
      <c r="CE117" s="60">
        <f t="shared" si="94"/>
        <v>166.97658184507776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</v>
      </c>
      <c r="CT117" s="13">
        <f>IF('Données projet'!$A$140&gt;35,CT116+CS117-DB116,IF(A117&lt;'Données projet'!$A$140,$CQ$205^A117,IF(A117='Données projet'!$A$140,'Données projet'!$B$140,CT116+CS117-DB116)))</f>
        <v>231.00000000000006</v>
      </c>
      <c r="CU117" s="18">
        <f>CT117*VLOOKUP('Données projet'!$B$13,Paramètres!$A$1:$I$89,3,0)*VLOOKUP('Données projet'!$B$13,Paramètres!$A$1:$I$89,5,0)</f>
        <v>223.42320000000004</v>
      </c>
      <c r="CV117" s="14">
        <f t="shared" si="95"/>
        <v>54.858231422257631</v>
      </c>
      <c r="CW117" s="22">
        <f t="shared" si="67"/>
        <v>484.67349306043207</v>
      </c>
      <c r="CX117" s="60">
        <f t="shared" si="68"/>
        <v>778.00682639376532</v>
      </c>
      <c r="CY117" s="60">
        <f ca="1">AVERAGE(OFFSET($CX$3,0,0,'Données projet'!$E$13+1,1))-AVERAGE(OFFSET($H$3,0,0,'Données projet'!$E$13+1,1))</f>
        <v>345.71694170753534</v>
      </c>
      <c r="CZ117" s="60">
        <f t="shared" si="96"/>
        <v>154.08406475869634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275.05919999999958</v>
      </c>
      <c r="P118" s="14">
        <f t="shared" si="87"/>
        <v>65.921796397718268</v>
      </c>
      <c r="Q118" s="22">
        <f t="shared" si="107"/>
        <v>593.87523539269193</v>
      </c>
      <c r="R118" s="60">
        <f t="shared" si="55"/>
        <v>887.20856872602531</v>
      </c>
      <c r="S118" s="60">
        <f ca="1">AVERAGE(OFFSET($R$3,0,0,'Données projet'!$E$9+1,1))-AVERAGE(OFFSET($H$3,0,0,'Données projet'!$E$9+1,1))</f>
        <v>430.21146937947236</v>
      </c>
      <c r="T118" s="60">
        <f t="shared" si="88"/>
        <v>231.36959598460686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3.4</v>
      </c>
      <c r="AI118" s="14">
        <f>IF('Données projet'!$A$62&gt;35,AI117+AH118-AQ117,IF(A118&lt;'Données projet'!$A$62,$AF$205^A118,IF(A118='Données projet'!$A$62,'Données projet'!$B$62,AI117+AH118-AQ117)))</f>
        <v>282.99999999999994</v>
      </c>
      <c r="AJ118" s="14">
        <f>AI118*VLOOKUP('Données projet'!$B$10,Paramètres!$A$1:$I$89,3,0)*VLOOKUP('Données projet'!$B$10,Paramètres!$A$1:$I$89,5,0)</f>
        <v>269.30279999999993</v>
      </c>
      <c r="AK118" s="14">
        <f t="shared" si="89"/>
        <v>64.701283593559893</v>
      </c>
      <c r="AL118" s="22">
        <f t="shared" si="58"/>
        <v>581.72377892545001</v>
      </c>
      <c r="AM118" s="60">
        <f t="shared" si="59"/>
        <v>875.05711225878326</v>
      </c>
      <c r="AN118" s="60">
        <f ca="1">AVERAGE(OFFSET($AM$3,0,0,'Données projet'!$E$10+1,1))-AVERAGE(OFFSET($H$3,0,0,'Données projet'!$E$10+1,1))</f>
        <v>370.04285308422544</v>
      </c>
      <c r="AO118" s="60">
        <f t="shared" si="90"/>
        <v>218.53758068502731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-2.8421709430404007E-13</v>
      </c>
      <c r="BE118" s="14">
        <f>BD118*VLOOKUP('Données projet'!$B$11,Paramètres!$A$1:$I$89,3,0)*VLOOKUP('Données projet'!$B$11,Paramètres!$A$1:$I$89,5,0)</f>
        <v>-1.69961822393816E-13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225.82185458224626</v>
      </c>
      <c r="BJ118" s="60">
        <f t="shared" si="92"/>
        <v>363.02009369315243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19.474804338672126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1.0065541342874303E-9</v>
      </c>
      <c r="BS118" s="24">
        <f t="shared" si="63"/>
        <v>19.474804339678681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234</v>
      </c>
      <c r="BW118" s="13">
        <f>VLOOKUP(A118,'Données projet'!$A$113:$I$133,9,0)</f>
        <v>3</v>
      </c>
      <c r="BX118" s="13">
        <f t="array" ref="BX118">INDEX(BW:BW,MIN(IF(ISNUMBER(BW118:BW314),ROW(BW118:BW314),"")))</f>
        <v>3</v>
      </c>
      <c r="BY118" s="13">
        <f>IF('Données projet'!$A$114&gt;35,BY117+BX118-CG117,IF(A118&lt;'Données projet'!$A$114,$BV$205^A118,IF(A118='Données projet'!$A$114,'Données projet'!$B$114,BY117+BX118-CG117)))</f>
        <v>234.00000000000006</v>
      </c>
      <c r="BZ118" s="14">
        <f>BY118*VLOOKUP('Données projet'!$B$12,Paramètres!$A$1:$I$89,3,0)*VLOOKUP('Données projet'!$B$12,Paramètres!$A$1:$I$89,5,0)</f>
        <v>251.87760000000006</v>
      </c>
      <c r="CA118" s="14">
        <f t="shared" si="93"/>
        <v>60.987825380023075</v>
      </c>
      <c r="CB118" s="22">
        <f t="shared" si="64"/>
        <v>544.90728253687359</v>
      </c>
      <c r="CC118" s="60">
        <f t="shared" si="65"/>
        <v>838.24061587020697</v>
      </c>
      <c r="CD118" s="60">
        <f ca="1">AVERAGE(OFFSET($CC$3,0,0,'Données projet'!$E$12+1,1))-AVERAGE(OFFSET($H$3,0,0,'Données projet'!$E$12+1,1))</f>
        <v>380.16582491288449</v>
      </c>
      <c r="CE118" s="60">
        <f t="shared" si="94"/>
        <v>166.97658184507776</v>
      </c>
      <c r="CF118" s="16">
        <f>IF(ISNA(VLOOKUP(A118,'Données projet'!$A$113:$I$133,3,0)),0,VLOOKUP(A118,'Données projet'!$A$113:$I$133,3,0))</f>
        <v>9</v>
      </c>
      <c r="CG118" s="16">
        <f>IF(ISNA(VLOOKUP(A118,'Données projet'!$A$113:$I$133,4,0)),0,VLOOKUP(A118,'Données projet'!$A$113:$I$133,4,0))</f>
        <v>26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234</v>
      </c>
      <c r="CR118" s="13">
        <f>VLOOKUP(A118,'Données projet'!$A$139:$I$159,9,0)</f>
        <v>3</v>
      </c>
      <c r="CS118" s="13">
        <f t="array" ref="CS118">INDEX(CR:CR,MIN(IF(ISNUMBER(CR118:CR314),ROW(CR118:CR314),"")))</f>
        <v>3</v>
      </c>
      <c r="CT118" s="13">
        <f>IF('Données projet'!$A$140&gt;35,CT117+CS118-DB117,IF(A118&lt;'Données projet'!$A$140,$CQ$205^A118,IF(A118='Données projet'!$A$140,'Données projet'!$B$140,CT117+CS118-DB117)))</f>
        <v>234.00000000000006</v>
      </c>
      <c r="CU118" s="18">
        <f>CT118*VLOOKUP('Données projet'!$B$13,Paramètres!$A$1:$I$89,3,0)*VLOOKUP('Données projet'!$B$13,Paramètres!$A$1:$I$89,5,0)</f>
        <v>226.32480000000007</v>
      </c>
      <c r="CV118" s="14">
        <f t="shared" si="95"/>
        <v>55.48727390683672</v>
      </c>
      <c r="CW118" s="22">
        <f t="shared" si="67"/>
        <v>490.82269538774068</v>
      </c>
      <c r="CX118" s="60">
        <f t="shared" si="68"/>
        <v>784.15602872107399</v>
      </c>
      <c r="CY118" s="60">
        <f ca="1">AVERAGE(OFFSET($CX$3,0,0,'Données projet'!$E$13+1,1))-AVERAGE(OFFSET($H$3,0,0,'Données projet'!$E$13+1,1))</f>
        <v>345.71694170753534</v>
      </c>
      <c r="CZ118" s="60">
        <f t="shared" si="96"/>
        <v>154.08406475869634</v>
      </c>
      <c r="DA118" s="16">
        <f>IF(ISNA(VLOOKUP(A118,'Données projet'!$A$139:$I$159,3,0)),0,VLOOKUP(A118,'Données projet'!$A$139:$I$159,3,0))</f>
        <v>9</v>
      </c>
      <c r="DB118" s="16">
        <f>IF(ISNA(VLOOKUP(A118,'Données projet'!$A$139:$I$159,4,0)),0,VLOOKUP(A118,'Données projet'!$A$139:$I$159,4,0))</f>
        <v>26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244.65791999999956</v>
      </c>
      <c r="P119" s="14">
        <f t="shared" si="87"/>
        <v>59.44058075210858</v>
      </c>
      <c r="Q119" s="22">
        <f t="shared" si="107"/>
        <v>529.63822214325501</v>
      </c>
      <c r="R119" s="60">
        <f t="shared" si="55"/>
        <v>822.97155547658826</v>
      </c>
      <c r="S119" s="60">
        <f ca="1">AVERAGE(OFFSET($R$3,0,0,'Données projet'!$E$9+1,1))-AVERAGE(OFFSET($H$3,0,0,'Données projet'!$E$9+1,1))</f>
        <v>430.21146937947236</v>
      </c>
      <c r="T119" s="60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286.39999999999992</v>
      </c>
      <c r="AJ119" s="14">
        <f>AI119*VLOOKUP('Données projet'!$B$10,Paramètres!$A$1:$I$89,3,0)*VLOOKUP('Données projet'!$B$10,Paramètres!$A$1:$I$89,5,0)</f>
        <v>272.53823999999992</v>
      </c>
      <c r="AK119" s="14">
        <f t="shared" si="89"/>
        <v>65.387654174541112</v>
      </c>
      <c r="AL119" s="22">
        <f t="shared" si="58"/>
        <v>588.55426568732571</v>
      </c>
      <c r="AM119" s="60">
        <f t="shared" si="59"/>
        <v>881.88759902065908</v>
      </c>
      <c r="AN119" s="60">
        <f ca="1">AVERAGE(OFFSET($AM$3,0,0,'Données projet'!$E$10+1,1))-AVERAGE(OFFSET($H$3,0,0,'Données projet'!$E$10+1,1))</f>
        <v>370.04285308422544</v>
      </c>
      <c r="AO119" s="60">
        <f t="shared" si="90"/>
        <v>218.53758068502731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-2.8421709430404007E-13</v>
      </c>
      <c r="BE119" s="14">
        <f>BD119*VLOOKUP('Données projet'!$B$11,Paramètres!$A$1:$I$89,3,0)*VLOOKUP('Données projet'!$B$11,Paramètres!$A$1:$I$89,5,0)</f>
        <v>-1.69961822393816E-13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225.82185458224626</v>
      </c>
      <c r="BJ119" s="60">
        <f t="shared" si="92"/>
        <v>363.02009369315243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19.09291530404851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7.1174125398599679E-10</v>
      </c>
      <c r="BS119" s="24">
        <f t="shared" si="63"/>
        <v>19.09291530476025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210.40000000000006</v>
      </c>
      <c r="BZ119" s="14">
        <f>BY119*VLOOKUP('Données projet'!$B$12,Paramètres!$A$1:$I$89,3,0)*VLOOKUP('Données projet'!$B$12,Paramètres!$A$1:$I$89,5,0)</f>
        <v>226.47456000000008</v>
      </c>
      <c r="CA119" s="14">
        <f t="shared" si="93"/>
        <v>55.519715043340945</v>
      </c>
      <c r="CB119" s="22">
        <f t="shared" si="64"/>
        <v>491.14002903381885</v>
      </c>
      <c r="CC119" s="60">
        <f t="shared" si="65"/>
        <v>784.47336236715216</v>
      </c>
      <c r="CD119" s="60">
        <f ca="1">AVERAGE(OFFSET($CC$3,0,0,'Données projet'!$E$12+1,1))-AVERAGE(OFFSET($H$3,0,0,'Données projet'!$E$12+1,1))</f>
        <v>380.16582491288449</v>
      </c>
      <c r="CE119" s="60">
        <f t="shared" si="94"/>
        <v>166.97658184507776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2.4</v>
      </c>
      <c r="CT119" s="13">
        <f>IF('Données projet'!$A$140&gt;35,CT118+CS119-DB118,IF(A119&lt;'Données projet'!$A$140,$CQ$205^A119,IF(A119='Données projet'!$A$140,'Données projet'!$B$140,CT118+CS119-DB118)))</f>
        <v>210.40000000000006</v>
      </c>
      <c r="CU119" s="18">
        <f>CT119*VLOOKUP('Données projet'!$B$13,Paramètres!$A$1:$I$89,3,0)*VLOOKUP('Données projet'!$B$13,Paramètres!$A$1:$I$89,5,0)</f>
        <v>203.49888000000007</v>
      </c>
      <c r="CV119" s="14">
        <f t="shared" si="95"/>
        <v>50.512337776327122</v>
      </c>
      <c r="CW119" s="22">
        <f t="shared" si="67"/>
        <v>442.40287096043653</v>
      </c>
      <c r="CX119" s="60">
        <f t="shared" si="68"/>
        <v>735.73620429376979</v>
      </c>
      <c r="CY119" s="60">
        <f ca="1">AVERAGE(OFFSET($CX$3,0,0,'Données projet'!$E$13+1,1))-AVERAGE(OFFSET($H$3,0,0,'Données projet'!$E$13+1,1))</f>
        <v>345.71694170753534</v>
      </c>
      <c r="CZ119" s="60">
        <f t="shared" si="96"/>
        <v>154.08406475869634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247.73423999999952</v>
      </c>
      <c r="P120" s="14">
        <f t="shared" si="87"/>
        <v>60.100505665695003</v>
      </c>
      <c r="Q120" s="22">
        <f t="shared" si="107"/>
        <v>536.14551536775127</v>
      </c>
      <c r="R120" s="60">
        <f t="shared" si="55"/>
        <v>829.47884870108464</v>
      </c>
      <c r="S120" s="60">
        <f ca="1">AVERAGE(OFFSET($R$3,0,0,'Données projet'!$E$9+1,1))-AVERAGE(OFFSET($H$3,0,0,'Données projet'!$E$9+1,1))</f>
        <v>430.21146937947236</v>
      </c>
      <c r="T120" s="60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289.7999999999999</v>
      </c>
      <c r="AJ120" s="14">
        <f>AI120*VLOOKUP('Données projet'!$B$10,Paramètres!$A$1:$I$89,3,0)*VLOOKUP('Données projet'!$B$10,Paramètres!$A$1:$I$89,5,0)</f>
        <v>275.7736799999999</v>
      </c>
      <c r="AK120" s="14">
        <f t="shared" si="89"/>
        <v>66.073076930208813</v>
      </c>
      <c r="AL120" s="22">
        <f t="shared" si="58"/>
        <v>595.38310165344672</v>
      </c>
      <c r="AM120" s="60">
        <f t="shared" si="59"/>
        <v>888.71643498678009</v>
      </c>
      <c r="AN120" s="60">
        <f ca="1">AVERAGE(OFFSET($AM$3,0,0,'Données projet'!$E$10+1,1))-AVERAGE(OFFSET($H$3,0,0,'Données projet'!$E$10+1,1))</f>
        <v>370.04285308422544</v>
      </c>
      <c r="AO120" s="60">
        <f t="shared" si="90"/>
        <v>218.53758068502731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-2.8421709430404007E-13</v>
      </c>
      <c r="BE120" s="14">
        <f>BD120*VLOOKUP('Données projet'!$B$11,Paramètres!$A$1:$I$89,3,0)*VLOOKUP('Données projet'!$B$11,Paramètres!$A$1:$I$89,5,0)</f>
        <v>-1.69961822393816E-13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225.82185458224626</v>
      </c>
      <c r="BJ120" s="60">
        <f t="shared" si="92"/>
        <v>363.02009369315243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18.718514880464554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5.0327706714371517E-10</v>
      </c>
      <c r="BS120" s="24">
        <f t="shared" si="63"/>
        <v>18.718514880967831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212.80000000000007</v>
      </c>
      <c r="BZ120" s="14">
        <f>BY120*VLOOKUP('Données projet'!$B$12,Paramètres!$A$1:$I$89,3,0)*VLOOKUP('Données projet'!$B$12,Paramètres!$A$1:$I$89,5,0)</f>
        <v>229.05792000000005</v>
      </c>
      <c r="CA120" s="14">
        <f t="shared" si="93"/>
        <v>56.078933175722646</v>
      </c>
      <c r="CB120" s="22">
        <f t="shared" si="64"/>
        <v>496.61335261438376</v>
      </c>
      <c r="CC120" s="60">
        <f t="shared" si="65"/>
        <v>789.94668594771701</v>
      </c>
      <c r="CD120" s="60">
        <f ca="1">AVERAGE(OFFSET($CC$3,0,0,'Données projet'!$E$12+1,1))-AVERAGE(OFFSET($H$3,0,0,'Données projet'!$E$12+1,1))</f>
        <v>380.16582491288449</v>
      </c>
      <c r="CE120" s="60">
        <f t="shared" si="94"/>
        <v>166.97658184507776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2.4</v>
      </c>
      <c r="CT120" s="13">
        <f>IF('Données projet'!$A$140&gt;35,CT119+CS120-DB119,IF(A120&lt;'Données projet'!$A$140,$CQ$205^A120,IF(A120='Données projet'!$A$140,'Données projet'!$B$140,CT119+CS120-DB119)))</f>
        <v>212.80000000000007</v>
      </c>
      <c r="CU120" s="18">
        <f>CT120*VLOOKUP('Données projet'!$B$13,Paramètres!$A$1:$I$89,3,0)*VLOOKUP('Données projet'!$B$13,Paramètres!$A$1:$I$89,5,0)</f>
        <v>205.82016000000007</v>
      </c>
      <c r="CV120" s="14">
        <f t="shared" si="95"/>
        <v>51.02111947975375</v>
      </c>
      <c r="CW120" s="22">
        <f t="shared" si="67"/>
        <v>447.33189509390462</v>
      </c>
      <c r="CX120" s="60">
        <f t="shared" si="68"/>
        <v>740.66522842723793</v>
      </c>
      <c r="CY120" s="60">
        <f ca="1">AVERAGE(OFFSET($CX$3,0,0,'Données projet'!$E$13+1,1))-AVERAGE(OFFSET($H$3,0,0,'Données projet'!$E$13+1,1))</f>
        <v>345.71694170753534</v>
      </c>
      <c r="CZ120" s="60">
        <f t="shared" si="96"/>
        <v>154.08406475869634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250.81055999999953</v>
      </c>
      <c r="P121" s="14">
        <f t="shared" si="87"/>
        <v>60.759477364108577</v>
      </c>
      <c r="Q121" s="22">
        <f t="shared" si="107"/>
        <v>542.65114840915487</v>
      </c>
      <c r="R121" s="60">
        <f t="shared" si="55"/>
        <v>835.98448174248824</v>
      </c>
      <c r="S121" s="60">
        <f ca="1">AVERAGE(OFFSET($R$3,0,0,'Données projet'!$E$9+1,1))-AVERAGE(OFFSET($H$3,0,0,'Données projet'!$E$9+1,1))</f>
        <v>430.21146937947236</v>
      </c>
      <c r="T121" s="60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293.19999999999987</v>
      </c>
      <c r="AJ121" s="14">
        <f>AI121*VLOOKUP('Données projet'!$B$10,Paramètres!$A$1:$I$89,3,0)*VLOOKUP('Données projet'!$B$10,Paramètres!$A$1:$I$89,5,0)</f>
        <v>279.00911999999988</v>
      </c>
      <c r="AK121" s="14">
        <f t="shared" si="89"/>
        <v>66.757564267146137</v>
      </c>
      <c r="AL121" s="22">
        <f t="shared" si="58"/>
        <v>602.21030843194603</v>
      </c>
      <c r="AM121" s="60">
        <f t="shared" si="59"/>
        <v>895.54364176527929</v>
      </c>
      <c r="AN121" s="60">
        <f ca="1">AVERAGE(OFFSET($AM$3,0,0,'Données projet'!$E$10+1,1))-AVERAGE(OFFSET($H$3,0,0,'Données projet'!$E$10+1,1))</f>
        <v>370.04285308422544</v>
      </c>
      <c r="AO121" s="60">
        <f t="shared" si="90"/>
        <v>218.53758068502731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-2.8421709430404007E-13</v>
      </c>
      <c r="BE121" s="14">
        <f>BD121*VLOOKUP('Données projet'!$B$11,Paramètres!$A$1:$I$89,3,0)*VLOOKUP('Données projet'!$B$11,Paramètres!$A$1:$I$89,5,0)</f>
        <v>-1.69961822393816E-13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225.82185458224626</v>
      </c>
      <c r="BJ121" s="60">
        <f t="shared" si="92"/>
        <v>363.02009369315243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18.351456220825369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3.558706269929984E-10</v>
      </c>
      <c r="BS121" s="24">
        <f t="shared" si="63"/>
        <v>18.351456221181241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215.20000000000007</v>
      </c>
      <c r="BZ121" s="14">
        <f>BY121*VLOOKUP('Données projet'!$B$12,Paramètres!$A$1:$I$89,3,0)*VLOOKUP('Données projet'!$B$12,Paramètres!$A$1:$I$89,5,0)</f>
        <v>231.64128000000005</v>
      </c>
      <c r="CA121" s="14">
        <f t="shared" si="93"/>
        <v>56.637417641849474</v>
      </c>
      <c r="CB121" s="22">
        <f t="shared" si="64"/>
        <v>502.08539839288795</v>
      </c>
      <c r="CC121" s="60">
        <f t="shared" si="65"/>
        <v>795.41873172622127</v>
      </c>
      <c r="CD121" s="60">
        <f ca="1">AVERAGE(OFFSET($CC$3,0,0,'Données projet'!$E$12+1,1))-AVERAGE(OFFSET($H$3,0,0,'Données projet'!$E$12+1,1))</f>
        <v>380.16582491288449</v>
      </c>
      <c r="CE121" s="60">
        <f t="shared" si="94"/>
        <v>166.97658184507776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2.4</v>
      </c>
      <c r="CT121" s="13">
        <f>IF('Données projet'!$A$140&gt;35,CT120+CS121-DB120,IF(A121&lt;'Données projet'!$A$140,$CQ$205^A121,IF(A121='Données projet'!$A$140,'Données projet'!$B$140,CT120+CS121-DB120)))</f>
        <v>215.20000000000007</v>
      </c>
      <c r="CU121" s="18">
        <f>CT121*VLOOKUP('Données projet'!$B$13,Paramètres!$A$1:$I$89,3,0)*VLOOKUP('Données projet'!$B$13,Paramètres!$A$1:$I$89,5,0)</f>
        <v>208.14144000000007</v>
      </c>
      <c r="CV121" s="14">
        <f t="shared" si="95"/>
        <v>51.529233687000762</v>
      </c>
      <c r="CW121" s="22">
        <f t="shared" si="67"/>
        <v>452.25975667152642</v>
      </c>
      <c r="CX121" s="60">
        <f t="shared" si="68"/>
        <v>745.59309000485973</v>
      </c>
      <c r="CY121" s="60">
        <f ca="1">AVERAGE(OFFSET($CX$3,0,0,'Données projet'!$E$13+1,1))-AVERAGE(OFFSET($H$3,0,0,'Données projet'!$E$13+1,1))</f>
        <v>345.71694170753534</v>
      </c>
      <c r="CZ121" s="60">
        <f t="shared" si="96"/>
        <v>154.08406475869634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253.88687999999951</v>
      </c>
      <c r="P122" s="14">
        <f t="shared" si="87"/>
        <v>61.41750889127686</v>
      </c>
      <c r="Q122" s="22">
        <f t="shared" si="107"/>
        <v>549.1551439856396</v>
      </c>
      <c r="R122" s="60">
        <f t="shared" si="55"/>
        <v>842.48847731897285</v>
      </c>
      <c r="S122" s="60">
        <f ca="1">AVERAGE(OFFSET($R$3,0,0,'Données projet'!$E$9+1,1))-AVERAGE(OFFSET($H$3,0,0,'Données projet'!$E$9+1,1))</f>
        <v>430.21146937947236</v>
      </c>
      <c r="T122" s="60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296.59999999999985</v>
      </c>
      <c r="AJ122" s="14">
        <f>AI122*VLOOKUP('Données projet'!$B$10,Paramètres!$A$1:$I$89,3,0)*VLOOKUP('Données projet'!$B$10,Paramètres!$A$1:$I$89,5,0)</f>
        <v>282.24455999999986</v>
      </c>
      <c r="AK122" s="14">
        <f t="shared" si="89"/>
        <v>67.441128287637042</v>
      </c>
      <c r="AL122" s="22">
        <f t="shared" si="58"/>
        <v>609.03590710096762</v>
      </c>
      <c r="AM122" s="60">
        <f t="shared" si="59"/>
        <v>902.36924043430099</v>
      </c>
      <c r="AN122" s="60">
        <f ca="1">AVERAGE(OFFSET($AM$3,0,0,'Données projet'!$E$10+1,1))-AVERAGE(OFFSET($H$3,0,0,'Données projet'!$E$10+1,1))</f>
        <v>370.04285308422544</v>
      </c>
      <c r="AO122" s="60">
        <f t="shared" si="90"/>
        <v>218.53758068502731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-2.8421709430404007E-13</v>
      </c>
      <c r="BE122" s="14">
        <f>BD122*VLOOKUP('Données projet'!$B$11,Paramètres!$A$1:$I$89,3,0)*VLOOKUP('Données projet'!$B$11,Paramètres!$A$1:$I$89,5,0)</f>
        <v>-1.69961822393816E-13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225.82185458224626</v>
      </c>
      <c r="BJ122" s="60">
        <f t="shared" si="92"/>
        <v>363.02009369315243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17.991595357618035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2.5163853357185759E-10</v>
      </c>
      <c r="BS122" s="24">
        <f t="shared" si="63"/>
        <v>17.991595357869674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217.60000000000008</v>
      </c>
      <c r="BZ122" s="14">
        <f>BY122*VLOOKUP('Données projet'!$B$12,Paramètres!$A$1:$I$89,3,0)*VLOOKUP('Données projet'!$B$12,Paramètres!$A$1:$I$89,5,0)</f>
        <v>234.22464000000005</v>
      </c>
      <c r="CA122" s="14">
        <f t="shared" si="93"/>
        <v>57.195177570729278</v>
      </c>
      <c r="CB122" s="22">
        <f t="shared" si="64"/>
        <v>507.55618226902021</v>
      </c>
      <c r="CC122" s="60">
        <f t="shared" si="65"/>
        <v>800.88951560235353</v>
      </c>
      <c r="CD122" s="60">
        <f ca="1">AVERAGE(OFFSET($CC$3,0,0,'Données projet'!$E$12+1,1))-AVERAGE(OFFSET($H$3,0,0,'Données projet'!$E$12+1,1))</f>
        <v>380.16582491288449</v>
      </c>
      <c r="CE122" s="60">
        <f t="shared" si="94"/>
        <v>166.97658184507776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2.4</v>
      </c>
      <c r="CT122" s="13">
        <f>IF('Données projet'!$A$140&gt;35,CT121+CS122-DB121,IF(A122&lt;'Données projet'!$A$140,$CQ$205^A122,IF(A122='Données projet'!$A$140,'Données projet'!$B$140,CT121+CS122-DB121)))</f>
        <v>217.60000000000008</v>
      </c>
      <c r="CU122" s="18">
        <f>CT122*VLOOKUP('Données projet'!$B$13,Paramètres!$A$1:$I$89,3,0)*VLOOKUP('Données projet'!$B$13,Paramètres!$A$1:$I$89,5,0)</f>
        <v>210.46272000000005</v>
      </c>
      <c r="CV122" s="14">
        <f t="shared" si="95"/>
        <v>52.036688703722042</v>
      </c>
      <c r="CW122" s="22">
        <f t="shared" si="67"/>
        <v>457.18647015898267</v>
      </c>
      <c r="CX122" s="60">
        <f t="shared" si="68"/>
        <v>750.51980349231599</v>
      </c>
      <c r="CY122" s="60">
        <f ca="1">AVERAGE(OFFSET($CX$3,0,0,'Données projet'!$E$13+1,1))-AVERAGE(OFFSET($H$3,0,0,'Données projet'!$E$13+1,1))</f>
        <v>345.71694170753534</v>
      </c>
      <c r="CZ122" s="60">
        <f t="shared" si="96"/>
        <v>154.08406475869634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256.96319999999946</v>
      </c>
      <c r="P123" s="14">
        <f t="shared" si="87"/>
        <v>62.07461295683791</v>
      </c>
      <c r="Q123" s="22">
        <f t="shared" si="107"/>
        <v>555.65752423315837</v>
      </c>
      <c r="R123" s="60">
        <f t="shared" si="55"/>
        <v>848.99085756649174</v>
      </c>
      <c r="S123" s="60">
        <f ca="1">AVERAGE(OFFSET($R$3,0,0,'Données projet'!$E$9+1,1))-AVERAGE(OFFSET($H$3,0,0,'Données projet'!$E$9+1,1))</f>
        <v>430.21146937947236</v>
      </c>
      <c r="T123" s="60">
        <f t="shared" si="88"/>
        <v>231.36959598460686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300</v>
      </c>
      <c r="AG123" s="13">
        <f>VLOOKUP(A123,'Données projet'!$A$61:$I$81,9,0)</f>
        <v>3.4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299.99999999999983</v>
      </c>
      <c r="AJ123" s="14">
        <f>AI123*VLOOKUP('Données projet'!$B$10,Paramètres!$A$1:$I$89,3,0)*VLOOKUP('Données projet'!$B$10,Paramètres!$A$1:$I$89,5,0)</f>
        <v>285.47999999999985</v>
      </c>
      <c r="AK123" s="14">
        <f t="shared" si="89"/>
        <v>68.12378080053071</v>
      </c>
      <c r="AL123" s="22">
        <f t="shared" si="58"/>
        <v>615.8599182275907</v>
      </c>
      <c r="AM123" s="60">
        <f t="shared" si="59"/>
        <v>909.19325156092395</v>
      </c>
      <c r="AN123" s="60">
        <f ca="1">AVERAGE(OFFSET($AM$3,0,0,'Données projet'!$E$10+1,1))-AVERAGE(OFFSET($H$3,0,0,'Données projet'!$E$10+1,1))</f>
        <v>370.04285308422544</v>
      </c>
      <c r="AO123" s="60">
        <f t="shared" si="90"/>
        <v>218.53758068502731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300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-2.8421709430404007E-13</v>
      </c>
      <c r="BE123" s="14">
        <f>BD123*VLOOKUP('Données projet'!$B$11,Paramètres!$A$1:$I$89,3,0)*VLOOKUP('Données projet'!$B$11,Paramètres!$A$1:$I$89,5,0)</f>
        <v>-1.69961822393816E-13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225.82185458224626</v>
      </c>
      <c r="BJ123" s="60">
        <f t="shared" si="92"/>
        <v>363.02009369315243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17.638791146444742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1.779353134964992E-10</v>
      </c>
      <c r="BS123" s="24">
        <f t="shared" si="63"/>
        <v>17.638791146622676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220.00000000000009</v>
      </c>
      <c r="BZ123" s="14">
        <f>BY123*VLOOKUP('Données projet'!$B$12,Paramètres!$A$1:$I$89,3,0)*VLOOKUP('Données projet'!$B$12,Paramètres!$A$1:$I$89,5,0)</f>
        <v>236.80800000000008</v>
      </c>
      <c r="CA123" s="14">
        <f t="shared" si="93"/>
        <v>57.752221878398714</v>
      </c>
      <c r="CB123" s="22">
        <f t="shared" si="64"/>
        <v>513.02571977154446</v>
      </c>
      <c r="CC123" s="60">
        <f t="shared" si="65"/>
        <v>806.35905310487783</v>
      </c>
      <c r="CD123" s="60">
        <f ca="1">AVERAGE(OFFSET($CC$3,0,0,'Données projet'!$E$12+1,1))-AVERAGE(OFFSET($H$3,0,0,'Données projet'!$E$12+1,1))</f>
        <v>380.16582491288449</v>
      </c>
      <c r="CE123" s="60">
        <f t="shared" si="94"/>
        <v>166.97658184507776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2.4</v>
      </c>
      <c r="CT123" s="13">
        <f>IF('Données projet'!$A$140&gt;35,CT122+CS123-DB122,IF(A123&lt;'Données projet'!$A$140,$CQ$205^A123,IF(A123='Données projet'!$A$140,'Données projet'!$B$140,CT122+CS123-DB122)))</f>
        <v>220.00000000000009</v>
      </c>
      <c r="CU123" s="18">
        <f>CT123*VLOOKUP('Données projet'!$B$13,Paramètres!$A$1:$I$89,3,0)*VLOOKUP('Données projet'!$B$13,Paramètres!$A$1:$I$89,5,0)</f>
        <v>212.78400000000011</v>
      </c>
      <c r="CV123" s="14">
        <f t="shared" si="95"/>
        <v>52.543492641808108</v>
      </c>
      <c r="CW123" s="22">
        <f t="shared" si="67"/>
        <v>462.1120496844826</v>
      </c>
      <c r="CX123" s="60">
        <f t="shared" si="68"/>
        <v>755.44538301781586</v>
      </c>
      <c r="CY123" s="60">
        <f ca="1">AVERAGE(OFFSET($CX$3,0,0,'Données projet'!$E$13+1,1))-AVERAGE(OFFSET($H$3,0,0,'Données projet'!$E$13+1,1))</f>
        <v>345.71694170753534</v>
      </c>
      <c r="CZ123" s="60">
        <f t="shared" si="96"/>
        <v>154.08406475869634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260.03951999999947</v>
      </c>
      <c r="P124" s="14">
        <f t="shared" si="87"/>
        <v>62.730801948604764</v>
      </c>
      <c r="Q124" s="22">
        <f t="shared" si="107"/>
        <v>562.1583107271523</v>
      </c>
      <c r="R124" s="60">
        <f t="shared" si="55"/>
        <v>855.49164406048567</v>
      </c>
      <c r="S124" s="60">
        <f ca="1">AVERAGE(OFFSET($R$3,0,0,'Données projet'!$E$9+1,1))-AVERAGE(OFFSET($H$3,0,0,'Données projet'!$E$9+1,1))</f>
        <v>430.21146937947236</v>
      </c>
      <c r="T124" s="60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-1.6227659216383472E-13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370.04285308422544</v>
      </c>
      <c r="AO124" s="60">
        <f t="shared" si="90"/>
        <v>218.53758068502731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-2.8421709430404007E-13</v>
      </c>
      <c r="BE124" s="14">
        <f>BD124*VLOOKUP('Données projet'!$B$11,Paramètres!$A$1:$I$89,3,0)*VLOOKUP('Données projet'!$B$11,Paramètres!$A$1:$I$89,5,0)</f>
        <v>-1.69961822393816E-13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225.82185458224626</v>
      </c>
      <c r="BJ124" s="60">
        <f t="shared" si="92"/>
        <v>363.02009369315243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17.292905210663235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1.2581926678592879E-10</v>
      </c>
      <c r="BS124" s="24">
        <f t="shared" si="63"/>
        <v>17.292905210789055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2.4</v>
      </c>
      <c r="BY124" s="13">
        <f>IF('Données projet'!$A$114&gt;35,BY123+BX124-CG123,IF(A124&lt;'Données projet'!$A$114,$BV$205^A124,IF(A124='Données projet'!$A$114,'Données projet'!$B$114,BY123+BX124-CG123)))</f>
        <v>222.40000000000009</v>
      </c>
      <c r="BZ124" s="14">
        <f>BY124*VLOOKUP('Données projet'!$B$12,Paramètres!$A$1:$I$89,3,0)*VLOOKUP('Données projet'!$B$12,Paramètres!$A$1:$I$89,5,0)</f>
        <v>239.39136000000008</v>
      </c>
      <c r="CA124" s="14">
        <f t="shared" si="93"/>
        <v>58.30855927515961</v>
      </c>
      <c r="CB124" s="22">
        <f t="shared" si="64"/>
        <v>518.49402607090303</v>
      </c>
      <c r="CC124" s="60">
        <f t="shared" si="65"/>
        <v>811.8273594042364</v>
      </c>
      <c r="CD124" s="60">
        <f ca="1">AVERAGE(OFFSET($CC$3,0,0,'Données projet'!$E$12+1,1))-AVERAGE(OFFSET($H$3,0,0,'Données projet'!$E$12+1,1))</f>
        <v>380.16582491288449</v>
      </c>
      <c r="CE124" s="60">
        <f t="shared" si="94"/>
        <v>166.97658184507776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2.4</v>
      </c>
      <c r="CT124" s="13">
        <f>IF('Données projet'!$A$140&gt;35,CT123+CS124-DB123,IF(A124&lt;'Données projet'!$A$140,$CQ$205^A124,IF(A124='Données projet'!$A$140,'Données projet'!$B$140,CT123+CS124-DB123)))</f>
        <v>222.40000000000009</v>
      </c>
      <c r="CU124" s="18">
        <f>CT124*VLOOKUP('Données projet'!$B$13,Paramètres!$A$1:$I$89,3,0)*VLOOKUP('Données projet'!$B$13,Paramètres!$A$1:$I$89,5,0)</f>
        <v>215.10528000000011</v>
      </c>
      <c r="CV124" s="14">
        <f t="shared" si="95"/>
        <v>53.049653425970071</v>
      </c>
      <c r="CW124" s="22">
        <f t="shared" si="67"/>
        <v>467.03650905023136</v>
      </c>
      <c r="CX124" s="60">
        <f t="shared" si="68"/>
        <v>760.36984238356467</v>
      </c>
      <c r="CY124" s="60">
        <f ca="1">AVERAGE(OFFSET($CX$3,0,0,'Données projet'!$E$13+1,1))-AVERAGE(OFFSET($H$3,0,0,'Données projet'!$E$13+1,1))</f>
        <v>345.71694170753534</v>
      </c>
      <c r="CZ124" s="60">
        <f t="shared" si="96"/>
        <v>154.08406475869634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263.11583999999948</v>
      </c>
      <c r="P125" s="14">
        <f t="shared" si="87"/>
        <v>63.386087944423274</v>
      </c>
      <c r="Q125" s="22">
        <f t="shared" si="107"/>
        <v>568.65752450320281</v>
      </c>
      <c r="R125" s="60">
        <f t="shared" si="55"/>
        <v>861.99085783653618</v>
      </c>
      <c r="S125" s="60">
        <f ca="1">AVERAGE(OFFSET($R$3,0,0,'Données projet'!$E$9+1,1))-AVERAGE(OFFSET($H$3,0,0,'Données projet'!$E$9+1,1))</f>
        <v>430.21146937947236</v>
      </c>
      <c r="T125" s="60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-1.6227659216383472E-13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370.04285308422544</v>
      </c>
      <c r="AO125" s="60">
        <f t="shared" si="90"/>
        <v>218.53758068502731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-2.8421709430404007E-13</v>
      </c>
      <c r="BE125" s="14">
        <f>BD125*VLOOKUP('Données projet'!$B$11,Paramètres!$A$1:$I$89,3,0)*VLOOKUP('Données projet'!$B$11,Paramètres!$A$1:$I$89,5,0)</f>
        <v>-1.69961822393816E-13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225.82185458224626</v>
      </c>
      <c r="BJ125" s="60">
        <f t="shared" si="92"/>
        <v>363.02009369315243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16.953801887112817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8.8967656748249599E-11</v>
      </c>
      <c r="BS125" s="24">
        <f t="shared" si="63"/>
        <v>16.953801887201784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2.4</v>
      </c>
      <c r="BY125" s="13">
        <f>IF('Données projet'!$A$114&gt;35,BY124+BX125-CG124,IF(A125&lt;'Données projet'!$A$114,$BV$205^A125,IF(A125='Données projet'!$A$114,'Données projet'!$B$114,BY124+BX125-CG124)))</f>
        <v>224.8000000000001</v>
      </c>
      <c r="BZ125" s="14">
        <f>BY125*VLOOKUP('Données projet'!$B$12,Paramètres!$A$1:$I$89,3,0)*VLOOKUP('Données projet'!$B$12,Paramètres!$A$1:$I$89,5,0)</f>
        <v>241.97472000000008</v>
      </c>
      <c r="CA125" s="14">
        <f t="shared" si="93"/>
        <v>58.86419827249361</v>
      </c>
      <c r="CB125" s="22">
        <f t="shared" si="64"/>
        <v>523.96111599125982</v>
      </c>
      <c r="CC125" s="60">
        <f t="shared" si="65"/>
        <v>817.29444932459319</v>
      </c>
      <c r="CD125" s="60">
        <f ca="1">AVERAGE(OFFSET($CC$3,0,0,'Données projet'!$E$12+1,1))-AVERAGE(OFFSET($H$3,0,0,'Données projet'!$E$12+1,1))</f>
        <v>380.16582491288449</v>
      </c>
      <c r="CE125" s="60">
        <f t="shared" si="94"/>
        <v>166.97658184507776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2.4</v>
      </c>
      <c r="CT125" s="13">
        <f>IF('Données projet'!$A$140&gt;35,CT124+CS125-DB124,IF(A125&lt;'Données projet'!$A$140,$CQ$205^A125,IF(A125='Données projet'!$A$140,'Données projet'!$B$140,CT124+CS125-DB124)))</f>
        <v>224.8000000000001</v>
      </c>
      <c r="CU125" s="18">
        <f>CT125*VLOOKUP('Données projet'!$B$13,Paramètres!$A$1:$I$89,3,0)*VLOOKUP('Données projet'!$B$13,Paramètres!$A$1:$I$89,5,0)</f>
        <v>217.42656000000011</v>
      </c>
      <c r="CV125" s="14">
        <f t="shared" si="95"/>
        <v>53.555178800030887</v>
      </c>
      <c r="CW125" s="22">
        <f t="shared" si="67"/>
        <v>471.95986174338731</v>
      </c>
      <c r="CX125" s="60">
        <f t="shared" si="68"/>
        <v>765.29319507672062</v>
      </c>
      <c r="CY125" s="60">
        <f ca="1">AVERAGE(OFFSET($CX$3,0,0,'Données projet'!$E$13+1,1))-AVERAGE(OFFSET($H$3,0,0,'Données projet'!$E$13+1,1))</f>
        <v>345.71694170753534</v>
      </c>
      <c r="CZ125" s="60">
        <f t="shared" si="96"/>
        <v>154.08406475869634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266.19215999999943</v>
      </c>
      <c r="P126" s="14">
        <f t="shared" si="87"/>
        <v>64.04048272345959</v>
      </c>
      <c r="Q126" s="22">
        <f t="shared" si="107"/>
        <v>575.15518607669117</v>
      </c>
      <c r="R126" s="60">
        <f t="shared" si="55"/>
        <v>868.48851941002454</v>
      </c>
      <c r="S126" s="60">
        <f ca="1">AVERAGE(OFFSET($R$3,0,0,'Données projet'!$E$9+1,1))-AVERAGE(OFFSET($H$3,0,0,'Données projet'!$E$9+1,1))</f>
        <v>430.21146937947236</v>
      </c>
      <c r="T126" s="60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-1.6227659216383472E-13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370.04285308422544</v>
      </c>
      <c r="AO126" s="60">
        <f t="shared" si="90"/>
        <v>218.53758068502731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-2.8421709430404007E-13</v>
      </c>
      <c r="BE126" s="14">
        <f>BD126*VLOOKUP('Données projet'!$B$11,Paramètres!$A$1:$I$89,3,0)*VLOOKUP('Données projet'!$B$11,Paramètres!$A$1:$I$89,5,0)</f>
        <v>-1.69961822393816E-13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225.82185458224626</v>
      </c>
      <c r="BJ126" s="60">
        <f t="shared" si="92"/>
        <v>363.02009369315243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16.621348172904618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6.2909633392964397E-11</v>
      </c>
      <c r="BS126" s="24">
        <f t="shared" si="63"/>
        <v>16.621348172967526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2.4</v>
      </c>
      <c r="BY126" s="13">
        <f>IF('Données projet'!$A$114&gt;35,BY125+BX126-CG125,IF(A126&lt;'Données projet'!$A$114,$BV$205^A126,IF(A126='Données projet'!$A$114,'Données projet'!$B$114,BY125+BX126-CG125)))</f>
        <v>227.2000000000001</v>
      </c>
      <c r="BZ126" s="14">
        <f>BY126*VLOOKUP('Données projet'!$B$12,Paramètres!$A$1:$I$89,3,0)*VLOOKUP('Données projet'!$B$12,Paramètres!$A$1:$I$89,5,0)</f>
        <v>244.5580800000001</v>
      </c>
      <c r="CA126" s="14">
        <f t="shared" si="93"/>
        <v>59.419147189674213</v>
      </c>
      <c r="CB126" s="22">
        <f t="shared" si="64"/>
        <v>529.42700402201604</v>
      </c>
      <c r="CC126" s="60">
        <f t="shared" si="65"/>
        <v>822.76033735534929</v>
      </c>
      <c r="CD126" s="60">
        <f ca="1">AVERAGE(OFFSET($CC$3,0,0,'Données projet'!$E$12+1,1))-AVERAGE(OFFSET($H$3,0,0,'Données projet'!$E$12+1,1))</f>
        <v>380.16582491288449</v>
      </c>
      <c r="CE126" s="60">
        <f t="shared" si="94"/>
        <v>166.97658184507776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2.4</v>
      </c>
      <c r="CT126" s="13">
        <f>IF('Données projet'!$A$140&gt;35,CT125+CS126-DB125,IF(A126&lt;'Données projet'!$A$140,$CQ$205^A126,IF(A126='Données projet'!$A$140,'Données projet'!$B$140,CT125+CS126-DB125)))</f>
        <v>227.2000000000001</v>
      </c>
      <c r="CU126" s="18">
        <f>CT126*VLOOKUP('Données projet'!$B$13,Paramètres!$A$1:$I$89,3,0)*VLOOKUP('Données projet'!$B$13,Paramètres!$A$1:$I$89,5,0)</f>
        <v>219.74784000000011</v>
      </c>
      <c r="CV126" s="14">
        <f t="shared" si="95"/>
        <v>54.060076332940611</v>
      </c>
      <c r="CW126" s="22">
        <f t="shared" si="67"/>
        <v>476.88212094653846</v>
      </c>
      <c r="CX126" s="60">
        <f t="shared" si="68"/>
        <v>770.21545427987178</v>
      </c>
      <c r="CY126" s="60">
        <f ca="1">AVERAGE(OFFSET($CX$3,0,0,'Données projet'!$E$13+1,1))-AVERAGE(OFFSET($H$3,0,0,'Données projet'!$E$13+1,1))</f>
        <v>345.71694170753534</v>
      </c>
      <c r="CZ126" s="60">
        <f t="shared" si="96"/>
        <v>154.08406475869634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269.26847999999939</v>
      </c>
      <c r="P127" s="14">
        <f t="shared" si="87"/>
        <v>64.693997776951065</v>
      </c>
      <c r="Q127" s="22">
        <f t="shared" si="107"/>
        <v>581.65131546152202</v>
      </c>
      <c r="R127" s="60">
        <f t="shared" si="55"/>
        <v>874.98464879485527</v>
      </c>
      <c r="S127" s="60">
        <f ca="1">AVERAGE(OFFSET($R$3,0,0,'Données projet'!$E$9+1,1))-AVERAGE(OFFSET($H$3,0,0,'Données projet'!$E$9+1,1))</f>
        <v>430.21146937947236</v>
      </c>
      <c r="T127" s="60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-1.6227659216383472E-13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370.04285308422544</v>
      </c>
      <c r="AO127" s="60">
        <f t="shared" si="90"/>
        <v>218.53758068502731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-2.8421709430404007E-13</v>
      </c>
      <c r="BE127" s="14">
        <f>BD127*VLOOKUP('Données projet'!$B$11,Paramètres!$A$1:$I$89,3,0)*VLOOKUP('Données projet'!$B$11,Paramètres!$A$1:$I$89,5,0)</f>
        <v>-1.69961822393816E-13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225.82185458224626</v>
      </c>
      <c r="BJ127" s="60">
        <f t="shared" si="92"/>
        <v>363.02009369315243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16.295413673255297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4.4483828374124799E-11</v>
      </c>
      <c r="BS127" s="24">
        <f t="shared" si="63"/>
        <v>16.29541367329978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2.4</v>
      </c>
      <c r="BY127" s="13">
        <f>IF('Données projet'!$A$114&gt;35,BY126+BX127-CG126,IF(A127&lt;'Données projet'!$A$114,$BV$205^A127,IF(A127='Données projet'!$A$114,'Données projet'!$B$114,BY126+BX127-CG126)))</f>
        <v>229.60000000000011</v>
      </c>
      <c r="BZ127" s="14">
        <f>BY127*VLOOKUP('Données projet'!$B$12,Paramètres!$A$1:$I$89,3,0)*VLOOKUP('Données projet'!$B$12,Paramètres!$A$1:$I$89,5,0)</f>
        <v>247.1414400000001</v>
      </c>
      <c r="CA127" s="14">
        <f t="shared" si="93"/>
        <v>59.97341416009025</v>
      </c>
      <c r="CB127" s="22">
        <f t="shared" si="64"/>
        <v>534.89170432882406</v>
      </c>
      <c r="CC127" s="60">
        <f t="shared" si="65"/>
        <v>828.22503766215732</v>
      </c>
      <c r="CD127" s="60">
        <f ca="1">AVERAGE(OFFSET($CC$3,0,0,'Données projet'!$E$12+1,1))-AVERAGE(OFFSET($H$3,0,0,'Données projet'!$E$12+1,1))</f>
        <v>380.16582491288449</v>
      </c>
      <c r="CE127" s="60">
        <f t="shared" si="94"/>
        <v>166.97658184507776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2.4</v>
      </c>
      <c r="CT127" s="13">
        <f>IF('Données projet'!$A$140&gt;35,CT126+CS127-DB126,IF(A127&lt;'Données projet'!$A$140,$CQ$205^A127,IF(A127='Données projet'!$A$140,'Données projet'!$B$140,CT126+CS127-DB126)))</f>
        <v>229.60000000000011</v>
      </c>
      <c r="CU127" s="18">
        <f>CT127*VLOOKUP('Données projet'!$B$13,Paramètres!$A$1:$I$89,3,0)*VLOOKUP('Données projet'!$B$13,Paramètres!$A$1:$I$89,5,0)</f>
        <v>222.06912000000011</v>
      </c>
      <c r="CV127" s="14">
        <f t="shared" si="95"/>
        <v>54.564353424529749</v>
      </c>
      <c r="CW127" s="22">
        <f t="shared" si="67"/>
        <v>481.80329954772287</v>
      </c>
      <c r="CX127" s="60">
        <f t="shared" si="68"/>
        <v>775.13663288105613</v>
      </c>
      <c r="CY127" s="60">
        <f ca="1">AVERAGE(OFFSET($CX$3,0,0,'Données projet'!$E$13+1,1))-AVERAGE(OFFSET($H$3,0,0,'Données projet'!$E$13+1,1))</f>
        <v>345.71694170753534</v>
      </c>
      <c r="CZ127" s="60">
        <f t="shared" si="96"/>
        <v>154.08406475869634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272.34479999999934</v>
      </c>
      <c r="P128" s="14">
        <f t="shared" si="87"/>
        <v>65.346644318451595</v>
      </c>
      <c r="Q128" s="22">
        <f t="shared" si="107"/>
        <v>588.1459321879687</v>
      </c>
      <c r="R128" s="60">
        <f t="shared" si="55"/>
        <v>881.47926552130207</v>
      </c>
      <c r="S128" s="60">
        <f ca="1">AVERAGE(OFFSET($R$3,0,0,'Données projet'!$E$9+1,1))-AVERAGE(OFFSET($H$3,0,0,'Données projet'!$E$9+1,1))</f>
        <v>430.21146937947236</v>
      </c>
      <c r="T128" s="60">
        <f t="shared" si="88"/>
        <v>231.36959598460686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-1.6227659216383472E-13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370.04285308422544</v>
      </c>
      <c r="AO128" s="60">
        <f t="shared" si="90"/>
        <v>218.53758068502731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-2.8421709430404007E-13</v>
      </c>
      <c r="BE128" s="14">
        <f>BD128*VLOOKUP('Données projet'!$B$11,Paramètres!$A$1:$I$89,3,0)*VLOOKUP('Données projet'!$B$11,Paramètres!$A$1:$I$89,5,0)</f>
        <v>-1.69961822393816E-13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225.82185458224626</v>
      </c>
      <c r="BJ128" s="60">
        <f t="shared" si="92"/>
        <v>363.02009369315243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15.975870550343684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3.1454816696482198E-11</v>
      </c>
      <c r="BS128" s="24">
        <f t="shared" si="63"/>
        <v>15.975870550375138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232</v>
      </c>
      <c r="BW128" s="13">
        <f>VLOOKUP(A128,'Données projet'!$A$113:$I$133,9,0)</f>
        <v>2.4</v>
      </c>
      <c r="BX128" s="13">
        <f t="array" ref="BX128">INDEX(BW:BW,MIN(IF(ISNUMBER(BW128:BW324),ROW(BW128:BW324),"")))</f>
        <v>2.4</v>
      </c>
      <c r="BY128" s="13">
        <f>IF('Données projet'!$A$114&gt;35,BY127+BX128-CG127,IF(A128&lt;'Données projet'!$A$114,$BV$205^A128,IF(A128='Données projet'!$A$114,'Données projet'!$B$114,BY127+BX128-CG127)))</f>
        <v>232.00000000000011</v>
      </c>
      <c r="BZ128" s="14">
        <f>BY128*VLOOKUP('Données projet'!$B$12,Paramètres!$A$1:$I$89,3,0)*VLOOKUP('Données projet'!$B$12,Paramètres!$A$1:$I$89,5,0)</f>
        <v>249.72480000000013</v>
      </c>
      <c r="CA128" s="14">
        <f t="shared" si="93"/>
        <v>60.527007137298142</v>
      </c>
      <c r="CB128" s="22">
        <f t="shared" si="64"/>
        <v>540.3552307641279</v>
      </c>
      <c r="CC128" s="60">
        <f t="shared" si="65"/>
        <v>833.68856409746127</v>
      </c>
      <c r="CD128" s="60">
        <f ca="1">AVERAGE(OFFSET($CC$3,0,0,'Données projet'!$E$12+1,1))-AVERAGE(OFFSET($H$3,0,0,'Données projet'!$E$12+1,1))</f>
        <v>380.16582491288449</v>
      </c>
      <c r="CE128" s="60">
        <f t="shared" si="94"/>
        <v>166.97658184507776</v>
      </c>
      <c r="CF128" s="16">
        <f>IF(ISNA(VLOOKUP(A128,'Données projet'!$A$113:$I$133,3,0)),0,VLOOKUP(A128,'Données projet'!$A$113:$I$133,3,0))</f>
        <v>10</v>
      </c>
      <c r="CG128" s="16">
        <f>IF(ISNA(VLOOKUP(A128,'Données projet'!$A$113:$I$133,4,0)),0,VLOOKUP(A128,'Données projet'!$A$113:$I$133,4,0))</f>
        <v>23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232</v>
      </c>
      <c r="CR128" s="13">
        <f>VLOOKUP(A128,'Données projet'!$A$139:$I$159,9,0)</f>
        <v>2.4</v>
      </c>
      <c r="CS128" s="13">
        <f t="array" ref="CS128">INDEX(CR:CR,MIN(IF(ISNUMBER(CR128:CR324),ROW(CR128:CR324),"")))</f>
        <v>2.4</v>
      </c>
      <c r="CT128" s="13">
        <f>IF('Données projet'!$A$140&gt;35,CT127+CS128-DB127,IF(A128&lt;'Données projet'!$A$140,$CQ$205^A128,IF(A128='Données projet'!$A$140,'Données projet'!$B$140,CT127+CS128-DB127)))</f>
        <v>232.00000000000011</v>
      </c>
      <c r="CU128" s="18">
        <f>CT128*VLOOKUP('Données projet'!$B$13,Paramètres!$A$1:$I$89,3,0)*VLOOKUP('Données projet'!$B$13,Paramètres!$A$1:$I$89,5,0)</f>
        <v>224.39040000000011</v>
      </c>
      <c r="CV128" s="14">
        <f t="shared" si="95"/>
        <v>55.068017311015858</v>
      </c>
      <c r="CW128" s="22">
        <f t="shared" si="67"/>
        <v>486.72341015001945</v>
      </c>
      <c r="CX128" s="60">
        <f t="shared" si="68"/>
        <v>780.05674348335276</v>
      </c>
      <c r="CY128" s="60">
        <f ca="1">AVERAGE(OFFSET($CX$3,0,0,'Données projet'!$E$13+1,1))-AVERAGE(OFFSET($H$3,0,0,'Données projet'!$E$13+1,1))</f>
        <v>345.71694170753534</v>
      </c>
      <c r="CZ128" s="60">
        <f t="shared" si="96"/>
        <v>154.08406475869634</v>
      </c>
      <c r="DA128" s="16">
        <f>IF(ISNA(VLOOKUP(A128,'Données projet'!$A$139:$I$159,3,0)),0,VLOOKUP(A128,'Données projet'!$A$139:$I$159,3,0))</f>
        <v>10</v>
      </c>
      <c r="DB128" s="16">
        <f>IF(ISNA(VLOOKUP(A128,'Données projet'!$A$139:$I$159,4,0)),0,VLOOKUP(A128,'Données projet'!$A$139:$I$159,4,0))</f>
        <v>23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245.20079999999936</v>
      </c>
      <c r="P129" s="14">
        <f t="shared" si="87"/>
        <v>59.557107941433571</v>
      </c>
      <c r="Q129" s="22">
        <f t="shared" si="107"/>
        <v>530.78668966466228</v>
      </c>
      <c r="R129" s="60">
        <f t="shared" si="55"/>
        <v>824.12002299799565</v>
      </c>
      <c r="S129" s="60">
        <f ca="1">AVERAGE(OFFSET($R$3,0,0,'Données projet'!$E$9+1,1))-AVERAGE(OFFSET($H$3,0,0,'Données projet'!$E$9+1,1))</f>
        <v>430.21146937947236</v>
      </c>
      <c r="T129" s="60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-1.6227659216383472E-13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370.04285308422544</v>
      </c>
      <c r="AO129" s="60">
        <f t="shared" si="90"/>
        <v>218.53758068502731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-2.8421709430404007E-13</v>
      </c>
      <c r="BE129" s="14">
        <f>BD129*VLOOKUP('Données projet'!$B$11,Paramètres!$A$1:$I$89,3,0)*VLOOKUP('Données projet'!$B$11,Paramètres!$A$1:$I$89,5,0)</f>
        <v>-1.69961822393816E-13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225.82185458224626</v>
      </c>
      <c r="BJ129" s="60">
        <f t="shared" si="92"/>
        <v>363.02009369315243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15.662593473170308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2.22419141870624E-11</v>
      </c>
      <c r="BS129" s="24">
        <f t="shared" si="63"/>
        <v>15.662593473192549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2</v>
      </c>
      <c r="BY129" s="13">
        <f>IF('Données projet'!$A$114&gt;35,BY128+BX129-CG128,IF(A129&lt;'Données projet'!$A$114,$BV$205^A129,IF(A129='Données projet'!$A$114,'Données projet'!$B$114,BY128+BX129-CG128)))</f>
        <v>211.00000000000011</v>
      </c>
      <c r="BZ129" s="14">
        <f>BY129*VLOOKUP('Données projet'!$B$12,Paramètres!$A$1:$I$89,3,0)*VLOOKUP('Données projet'!$B$12,Paramètres!$A$1:$I$89,5,0)</f>
        <v>227.1204000000001</v>
      </c>
      <c r="CA129" s="14">
        <f t="shared" si="93"/>
        <v>55.6595888651092</v>
      </c>
      <c r="CB129" s="22">
        <f t="shared" si="64"/>
        <v>492.50848060673201</v>
      </c>
      <c r="CC129" s="60">
        <f t="shared" si="65"/>
        <v>785.84181394006532</v>
      </c>
      <c r="CD129" s="60">
        <f ca="1">AVERAGE(OFFSET($CC$3,0,0,'Données projet'!$E$12+1,1))-AVERAGE(OFFSET($H$3,0,0,'Données projet'!$E$12+1,1))</f>
        <v>380.16582491288449</v>
      </c>
      <c r="CE129" s="60">
        <f t="shared" si="94"/>
        <v>166.97658184507776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2</v>
      </c>
      <c r="CT129" s="13">
        <f>IF('Données projet'!$A$140&gt;35,CT128+CS129-DB128,IF(A129&lt;'Données projet'!$A$140,$CQ$205^A129,IF(A129='Données projet'!$A$140,'Données projet'!$B$140,CT128+CS129-DB128)))</f>
        <v>211.00000000000011</v>
      </c>
      <c r="CU129" s="18">
        <f>CT129*VLOOKUP('Données projet'!$B$13,Paramètres!$A$1:$I$89,3,0)*VLOOKUP('Données projet'!$B$13,Paramètres!$A$1:$I$89,5,0)</f>
        <v>204.07920000000013</v>
      </c>
      <c r="CV129" s="14">
        <f t="shared" si="95"/>
        <v>50.639596241643567</v>
      </c>
      <c r="CW129" s="22">
        <f t="shared" si="67"/>
        <v>443.63523678752944</v>
      </c>
      <c r="CX129" s="60">
        <f t="shared" si="68"/>
        <v>736.96857012086275</v>
      </c>
      <c r="CY129" s="60">
        <f ca="1">AVERAGE(OFFSET($CX$3,0,0,'Données projet'!$E$13+1,1))-AVERAGE(OFFSET($H$3,0,0,'Données projet'!$E$13+1,1))</f>
        <v>345.71694170753534</v>
      </c>
      <c r="CZ129" s="60">
        <f t="shared" si="96"/>
        <v>154.08406475869634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247.91519999999937</v>
      </c>
      <c r="P130" s="14">
        <f t="shared" si="87"/>
        <v>60.139294964297299</v>
      </c>
      <c r="Q130" s="22">
        <f t="shared" si="107"/>
        <v>536.52824539615006</v>
      </c>
      <c r="R130" s="60">
        <f t="shared" si="55"/>
        <v>829.86157872948343</v>
      </c>
      <c r="S130" s="60">
        <f ca="1">AVERAGE(OFFSET($R$3,0,0,'Données projet'!$E$9+1,1))-AVERAGE(OFFSET($H$3,0,0,'Données projet'!$E$9+1,1))</f>
        <v>430.21146937947236</v>
      </c>
      <c r="T130" s="60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-1.6227659216383472E-13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370.04285308422544</v>
      </c>
      <c r="AO130" s="60">
        <f t="shared" si="90"/>
        <v>218.53758068502731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-2.8421709430404007E-13</v>
      </c>
      <c r="BE130" s="14">
        <f>BD130*VLOOKUP('Données projet'!$B$11,Paramètres!$A$1:$I$89,3,0)*VLOOKUP('Données projet'!$B$11,Paramètres!$A$1:$I$89,5,0)</f>
        <v>-1.69961822393816E-13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225.82185458224626</v>
      </c>
      <c r="BJ130" s="60">
        <f t="shared" si="92"/>
        <v>363.02009369315243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15.355459568400153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1.5727408348241099E-11</v>
      </c>
      <c r="BS130" s="24">
        <f t="shared" si="63"/>
        <v>15.355459568415881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2</v>
      </c>
      <c r="BY130" s="13">
        <f>IF('Données projet'!$A$114&gt;35,BY129+BX130-CG129,IF(A130&lt;'Données projet'!$A$114,$BV$205^A130,IF(A130='Données projet'!$A$114,'Données projet'!$B$114,BY129+BX130-CG129)))</f>
        <v>213.00000000000011</v>
      </c>
      <c r="BZ130" s="14">
        <f>BY130*VLOOKUP('Données projet'!$B$12,Paramètres!$A$1:$I$89,3,0)*VLOOKUP('Données projet'!$B$12,Paramètres!$A$1:$I$89,5,0)</f>
        <v>229.27320000000009</v>
      </c>
      <c r="CA130" s="14">
        <f t="shared" si="93"/>
        <v>56.125501442527415</v>
      </c>
      <c r="CB130" s="22">
        <f t="shared" si="64"/>
        <v>497.06940501240206</v>
      </c>
      <c r="CC130" s="60">
        <f t="shared" si="65"/>
        <v>790.40273834573532</v>
      </c>
      <c r="CD130" s="60">
        <f ca="1">AVERAGE(OFFSET($CC$3,0,0,'Données projet'!$E$12+1,1))-AVERAGE(OFFSET($H$3,0,0,'Données projet'!$E$12+1,1))</f>
        <v>380.16582491288449</v>
      </c>
      <c r="CE130" s="60">
        <f t="shared" si="94"/>
        <v>166.97658184507776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2</v>
      </c>
      <c r="CT130" s="13">
        <f>IF('Données projet'!$A$140&gt;35,CT129+CS130-DB129,IF(A130&lt;'Données projet'!$A$140,$CQ$205^A130,IF(A130='Données projet'!$A$140,'Données projet'!$B$140,CT129+CS130-DB129)))</f>
        <v>213.00000000000011</v>
      </c>
      <c r="CU130" s="18">
        <f>CT130*VLOOKUP('Données projet'!$B$13,Paramètres!$A$1:$I$89,3,0)*VLOOKUP('Données projet'!$B$13,Paramètres!$A$1:$I$89,5,0)</f>
        <v>206.01360000000011</v>
      </c>
      <c r="CV130" s="14">
        <f t="shared" si="95"/>
        <v>51.063487709141484</v>
      </c>
      <c r="CW130" s="22">
        <f t="shared" si="67"/>
        <v>447.74259442675498</v>
      </c>
      <c r="CX130" s="60">
        <f t="shared" si="68"/>
        <v>741.07592776008823</v>
      </c>
      <c r="CY130" s="60">
        <f ca="1">AVERAGE(OFFSET($CX$3,0,0,'Données projet'!$E$13+1,1))-AVERAGE(OFFSET($H$3,0,0,'Données projet'!$E$13+1,1))</f>
        <v>345.71694170753534</v>
      </c>
      <c r="CZ130" s="60">
        <f t="shared" si="96"/>
        <v>154.08406475869634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250.62959999999939</v>
      </c>
      <c r="P131" s="14">
        <f t="shared" si="87"/>
        <v>60.720740474356212</v>
      </c>
      <c r="Q131" s="22">
        <f t="shared" ref="Q131:Q153" si="108">(O131+P131)*0.475*44/12</f>
        <v>542.26850965950268</v>
      </c>
      <c r="R131" s="60">
        <f t="shared" ref="R131:R194" si="109">Q131+(I131+J131)*44/12</f>
        <v>835.60184299283605</v>
      </c>
      <c r="S131" s="60">
        <f ca="1">AVERAGE(OFFSET($R$3,0,0,'Données projet'!$E$9+1,1))-AVERAGE(OFFSET($H$3,0,0,'Données projet'!$E$9+1,1))</f>
        <v>430.21146937947236</v>
      </c>
      <c r="T131" s="60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-1.6227659216383472E-13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370.04285308422544</v>
      </c>
      <c r="AO131" s="60">
        <f t="shared" si="90"/>
        <v>218.53758068502731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-2.8421709430404007E-13</v>
      </c>
      <c r="BE131" s="14">
        <f>BD131*VLOOKUP('Données projet'!$B$11,Paramètres!$A$1:$I$89,3,0)*VLOOKUP('Données projet'!$B$11,Paramètres!$A$1:$I$89,5,0)</f>
        <v>-1.69961822393816E-13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225.82185458224626</v>
      </c>
      <c r="BJ131" s="60">
        <f t="shared" si="92"/>
        <v>363.02009369315243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15.054348372169356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1.11209570935312E-11</v>
      </c>
      <c r="BS131" s="24">
        <f t="shared" si="63"/>
        <v>15.054348372180478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2</v>
      </c>
      <c r="BY131" s="13">
        <f>IF('Données projet'!$A$114&gt;35,BY130+BX131-CG130,IF(A131&lt;'Données projet'!$A$114,$BV$205^A131,IF(A131='Données projet'!$A$114,'Données projet'!$B$114,BY130+BX131-CG130)))</f>
        <v>215.00000000000011</v>
      </c>
      <c r="BZ131" s="14">
        <f>BY131*VLOOKUP('Données projet'!$B$12,Paramètres!$A$1:$I$89,3,0)*VLOOKUP('Données projet'!$B$12,Paramètres!$A$1:$I$89,5,0)</f>
        <v>231.42600000000013</v>
      </c>
      <c r="CA131" s="14">
        <f t="shared" si="93"/>
        <v>56.590905067453271</v>
      </c>
      <c r="CB131" s="22">
        <f t="shared" si="64"/>
        <v>501.62944299248142</v>
      </c>
      <c r="CC131" s="60">
        <f t="shared" si="65"/>
        <v>794.96277632581473</v>
      </c>
      <c r="CD131" s="60">
        <f ca="1">AVERAGE(OFFSET($CC$3,0,0,'Données projet'!$E$12+1,1))-AVERAGE(OFFSET($H$3,0,0,'Données projet'!$E$12+1,1))</f>
        <v>380.16582491288449</v>
      </c>
      <c r="CE131" s="60">
        <f t="shared" si="94"/>
        <v>166.97658184507776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2</v>
      </c>
      <c r="CT131" s="13">
        <f>IF('Données projet'!$A$140&gt;35,CT130+CS131-DB130,IF(A131&lt;'Données projet'!$A$140,$CQ$205^A131,IF(A131='Données projet'!$A$140,'Données projet'!$B$140,CT130+CS131-DB130)))</f>
        <v>215.00000000000011</v>
      </c>
      <c r="CU131" s="18">
        <f>CT131*VLOOKUP('Données projet'!$B$13,Paramètres!$A$1:$I$89,3,0)*VLOOKUP('Données projet'!$B$13,Paramètres!$A$1:$I$89,5,0)</f>
        <v>207.94800000000012</v>
      </c>
      <c r="CV131" s="14">
        <f t="shared" si="95"/>
        <v>51.486916127068881</v>
      </c>
      <c r="CW131" s="22">
        <f t="shared" si="67"/>
        <v>451.84914558797851</v>
      </c>
      <c r="CX131" s="60">
        <f t="shared" si="68"/>
        <v>745.18247892131183</v>
      </c>
      <c r="CY131" s="60">
        <f ca="1">AVERAGE(OFFSET($CX$3,0,0,'Données projet'!$E$13+1,1))-AVERAGE(OFFSET($H$3,0,0,'Données projet'!$E$13+1,1))</f>
        <v>345.71694170753534</v>
      </c>
      <c r="CZ131" s="60">
        <f t="shared" si="96"/>
        <v>154.08406475869634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253.34399999999934</v>
      </c>
      <c r="P132" s="14">
        <f t="shared" si="87"/>
        <v>61.301453431926141</v>
      </c>
      <c r="Q132" s="22">
        <f t="shared" si="108"/>
        <v>548.00749806060355</v>
      </c>
      <c r="R132" s="60">
        <f t="shared" si="109"/>
        <v>841.34083139393692</v>
      </c>
      <c r="S132" s="60">
        <f ca="1">AVERAGE(OFFSET($R$3,0,0,'Données projet'!$E$9+1,1))-AVERAGE(OFFSET($H$3,0,0,'Données projet'!$E$9+1,1))</f>
        <v>430.21146937947236</v>
      </c>
      <c r="T132" s="60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-1.6227659216383472E-13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370.04285308422544</v>
      </c>
      <c r="AO132" s="60">
        <f t="shared" si="90"/>
        <v>218.53758068502731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-2.8421709430404007E-13</v>
      </c>
      <c r="BE132" s="14">
        <f>BD132*VLOOKUP('Données projet'!$B$11,Paramètres!$A$1:$I$89,3,0)*VLOOKUP('Données projet'!$B$11,Paramètres!$A$1:$I$89,5,0)</f>
        <v>-1.69961822393816E-13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225.82185458224626</v>
      </c>
      <c r="BJ132" s="60">
        <f t="shared" si="92"/>
        <v>363.02009369315243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14.75914178283695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7.8637041741205496E-12</v>
      </c>
      <c r="BS132" s="24">
        <f t="shared" ref="BS132:BS153" si="117">SUM(BP132:BR132)</f>
        <v>14.759141782844814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2</v>
      </c>
      <c r="BY132" s="13">
        <f>IF('Données projet'!$A$114&gt;35,BY131+BX132-CG131,IF(A132&lt;'Données projet'!$A$114,$BV$205^A132,IF(A132='Données projet'!$A$114,'Données projet'!$B$114,BY131+BX132-CG131)))</f>
        <v>217.00000000000011</v>
      </c>
      <c r="BZ132" s="14">
        <f>BY132*VLOOKUP('Données projet'!$B$12,Paramètres!$A$1:$I$89,3,0)*VLOOKUP('Données projet'!$B$12,Paramètres!$A$1:$I$89,5,0)</f>
        <v>233.57880000000011</v>
      </c>
      <c r="CA132" s="14">
        <f t="shared" si="93"/>
        <v>57.055805022709997</v>
      </c>
      <c r="CB132" s="22">
        <f t="shared" ref="CB132:CB153" si="118">(BZ132+CA132)*0.475*44/12</f>
        <v>506.1886037478867</v>
      </c>
      <c r="CC132" s="60">
        <f t="shared" ref="CC132:CC195" si="119">CB132+(BT132+BU132)*44/12</f>
        <v>799.52193708122002</v>
      </c>
      <c r="CD132" s="60">
        <f ca="1">AVERAGE(OFFSET($CC$3,0,0,'Données projet'!$E$12+1,1))-AVERAGE(OFFSET($H$3,0,0,'Données projet'!$E$12+1,1))</f>
        <v>380.16582491288449</v>
      </c>
      <c r="CE132" s="60">
        <f t="shared" si="94"/>
        <v>166.97658184507776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2</v>
      </c>
      <c r="CT132" s="13">
        <f>IF('Données projet'!$A$140&gt;35,CT131+CS132-DB131,IF(A132&lt;'Données projet'!$A$140,$CQ$205^A132,IF(A132='Données projet'!$A$140,'Données projet'!$B$140,CT131+CS132-DB131)))</f>
        <v>217.00000000000011</v>
      </c>
      <c r="CU132" s="18">
        <f>CT132*VLOOKUP('Données projet'!$B$13,Paramètres!$A$1:$I$89,3,0)*VLOOKUP('Données projet'!$B$13,Paramètres!$A$1:$I$89,5,0)</f>
        <v>209.88240000000013</v>
      </c>
      <c r="CV132" s="14">
        <f t="shared" si="95"/>
        <v>51.909886301786052</v>
      </c>
      <c r="CW132" s="22">
        <f t="shared" ref="CW132:CW153" si="121">(CU132+CV132)*0.475*44/12</f>
        <v>455.95489864227756</v>
      </c>
      <c r="CX132" s="60">
        <f t="shared" ref="CX132:CX195" si="122">CW132+(CO132+CP132)*44/12</f>
        <v>749.28823197561087</v>
      </c>
      <c r="CY132" s="60">
        <f ca="1">AVERAGE(OFFSET($CX$3,0,0,'Données projet'!$E$13+1,1))-AVERAGE(OFFSET($H$3,0,0,'Données projet'!$E$13+1,1))</f>
        <v>345.71694170753534</v>
      </c>
      <c r="CZ132" s="60">
        <f t="shared" si="96"/>
        <v>154.08406475869634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256.05839999999938</v>
      </c>
      <c r="P133" s="14">
        <f t="shared" ref="P133:P196" si="141">EXP(-1.0587+0.8836*LN(O133)+0.284)</f>
        <v>61.88144259425632</v>
      </c>
      <c r="Q133" s="22">
        <f t="shared" si="108"/>
        <v>553.74522585166198</v>
      </c>
      <c r="R133" s="60">
        <f t="shared" si="109"/>
        <v>847.07855918499536</v>
      </c>
      <c r="S133" s="60">
        <f ca="1">AVERAGE(OFFSET($R$3,0,0,'Données projet'!$E$9+1,1))-AVERAGE(OFFSET($H$3,0,0,'Données projet'!$E$9+1,1))</f>
        <v>430.21146937947236</v>
      </c>
      <c r="T133" s="60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-1.6227659216383472E-13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370.04285308422544</v>
      </c>
      <c r="AO133" s="60">
        <f t="shared" ref="AO133:AO196" si="144">$AO$3</f>
        <v>218.53758068502731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-2.8421709430404007E-13</v>
      </c>
      <c r="BE133" s="14">
        <f>BD133*VLOOKUP('Données projet'!$B$11,Paramètres!$A$1:$I$89,3,0)*VLOOKUP('Données projet'!$B$11,Paramètres!$A$1:$I$89,5,0)</f>
        <v>-1.69961822393816E-13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225.82185458224626</v>
      </c>
      <c r="BJ133" s="60">
        <f t="shared" ref="BJ133:BJ196" si="146">$BJ$3</f>
        <v>363.02009369315243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14.469724014663113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5.5604785467655999E-12</v>
      </c>
      <c r="BS133" s="24">
        <f t="shared" si="117"/>
        <v>14.469724014668673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2</v>
      </c>
      <c r="BY133" s="13">
        <f>IF('Données projet'!$A$114&gt;35,BY132+BX133-CG132,IF(A133&lt;'Données projet'!$A$114,$BV$205^A133,IF(A133='Données projet'!$A$114,'Données projet'!$B$114,BY132+BX133-CG132)))</f>
        <v>219.00000000000011</v>
      </c>
      <c r="BZ133" s="14">
        <f>BY133*VLOOKUP('Données projet'!$B$12,Paramètres!$A$1:$I$89,3,0)*VLOOKUP('Données projet'!$B$12,Paramètres!$A$1:$I$89,5,0)</f>
        <v>235.73160000000013</v>
      </c>
      <c r="CA133" s="14">
        <f t="shared" ref="CA133:CA153" si="147">EXP(-1.0587+0.8836*LN(BZ133)+0.284)</f>
        <v>57.520206488125268</v>
      </c>
      <c r="CB133" s="22">
        <f t="shared" si="118"/>
        <v>510.74689630015172</v>
      </c>
      <c r="CC133" s="60">
        <f t="shared" si="119"/>
        <v>804.08022963348503</v>
      </c>
      <c r="CD133" s="60">
        <f ca="1">AVERAGE(OFFSET($CC$3,0,0,'Données projet'!$E$12+1,1))-AVERAGE(OFFSET($H$3,0,0,'Données projet'!$E$12+1,1))</f>
        <v>380.16582491288449</v>
      </c>
      <c r="CE133" s="60">
        <f t="shared" ref="CE133:CE196" si="148">$CE$3</f>
        <v>166.97658184507776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2</v>
      </c>
      <c r="CT133" s="13">
        <f>IF('Données projet'!$A$140&gt;35,CT132+CS133-DB132,IF(A133&lt;'Données projet'!$A$140,$CQ$205^A133,IF(A133='Données projet'!$A$140,'Données projet'!$B$140,CT132+CS133-DB132)))</f>
        <v>219.00000000000011</v>
      </c>
      <c r="CU133" s="18">
        <f>CT133*VLOOKUP('Données projet'!$B$13,Paramètres!$A$1:$I$89,3,0)*VLOOKUP('Données projet'!$B$13,Paramètres!$A$1:$I$89,5,0)</f>
        <v>211.81680000000009</v>
      </c>
      <c r="CV133" s="14">
        <f t="shared" ref="CV133:CV153" si="149">EXP(-1.0587+0.8836*LN(CU133)+0.284)</f>
        <v>52.332402945946832</v>
      </c>
      <c r="CW133" s="22">
        <f t="shared" si="121"/>
        <v>460.05986179752421</v>
      </c>
      <c r="CX133" s="60">
        <f t="shared" si="122"/>
        <v>753.39319513085752</v>
      </c>
      <c r="CY133" s="60">
        <f ca="1">AVERAGE(OFFSET($CX$3,0,0,'Données projet'!$E$13+1,1))-AVERAGE(OFFSET($H$3,0,0,'Données projet'!$E$13+1,1))</f>
        <v>345.71694170753534</v>
      </c>
      <c r="CZ133" s="60">
        <f t="shared" ref="CZ133:CZ196" si="150">$CZ$3</f>
        <v>154.08406475869634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258.77279999999939</v>
      </c>
      <c r="P134" s="14">
        <f t="shared" si="141"/>
        <v>62.460716522234527</v>
      </c>
      <c r="Q134" s="22">
        <f t="shared" si="108"/>
        <v>559.48170794289069</v>
      </c>
      <c r="R134" s="60">
        <f t="shared" si="109"/>
        <v>852.81504127622406</v>
      </c>
      <c r="S134" s="60">
        <f ca="1">AVERAGE(OFFSET($R$3,0,0,'Données projet'!$E$9+1,1))-AVERAGE(OFFSET($H$3,0,0,'Données projet'!$E$9+1,1))</f>
        <v>430.21146937947236</v>
      </c>
      <c r="T134" s="60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-1.6227659216383472E-13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370.04285308422544</v>
      </c>
      <c r="AO134" s="60">
        <f t="shared" si="144"/>
        <v>218.53758068502731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-2.8421709430404007E-13</v>
      </c>
      <c r="BE134" s="14">
        <f>BD134*VLOOKUP('Données projet'!$B$11,Paramètres!$A$1:$I$89,3,0)*VLOOKUP('Données projet'!$B$11,Paramètres!$A$1:$I$89,5,0)</f>
        <v>-1.69961822393816E-13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225.82185458224626</v>
      </c>
      <c r="BJ134" s="60">
        <f t="shared" si="146"/>
        <v>363.02009369315243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14.185981552395756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3.9318520870602748E-12</v>
      </c>
      <c r="BS134" s="24">
        <f t="shared" si="117"/>
        <v>14.185981552399687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</v>
      </c>
      <c r="BY134" s="13">
        <f>IF('Données projet'!$A$114&gt;35,BY133+BX134-CG133,IF(A134&lt;'Données projet'!$A$114,$BV$205^A134,IF(A134='Données projet'!$A$114,'Données projet'!$B$114,BY133+BX134-CG133)))</f>
        <v>221.00000000000011</v>
      </c>
      <c r="BZ134" s="14">
        <f>BY134*VLOOKUP('Données projet'!$B$12,Paramètres!$A$1:$I$89,3,0)*VLOOKUP('Données projet'!$B$12,Paramètres!$A$1:$I$89,5,0)</f>
        <v>237.88440000000011</v>
      </c>
      <c r="CA134" s="14">
        <f t="shared" si="147"/>
        <v>57.984114543460585</v>
      </c>
      <c r="CB134" s="22">
        <f t="shared" si="118"/>
        <v>515.30432949652743</v>
      </c>
      <c r="CC134" s="60">
        <f t="shared" si="119"/>
        <v>808.6376628298608</v>
      </c>
      <c r="CD134" s="60">
        <f ca="1">AVERAGE(OFFSET($CC$3,0,0,'Données projet'!$E$12+1,1))-AVERAGE(OFFSET($H$3,0,0,'Données projet'!$E$12+1,1))</f>
        <v>380.16582491288449</v>
      </c>
      <c r="CE134" s="60">
        <f t="shared" si="148"/>
        <v>166.97658184507776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</v>
      </c>
      <c r="CT134" s="13">
        <f>IF('Données projet'!$A$140&gt;35,CT133+CS134-DB133,IF(A134&lt;'Données projet'!$A$140,$CQ$205^A134,IF(A134='Données projet'!$A$140,'Données projet'!$B$140,CT133+CS134-DB133)))</f>
        <v>221.00000000000011</v>
      </c>
      <c r="CU134" s="18">
        <f>CT134*VLOOKUP('Données projet'!$B$13,Paramètres!$A$1:$I$89,3,0)*VLOOKUP('Données projet'!$B$13,Paramètres!$A$1:$I$89,5,0)</f>
        <v>213.75120000000013</v>
      </c>
      <c r="CV134" s="14">
        <f t="shared" si="149"/>
        <v>52.75447068116425</v>
      </c>
      <c r="CW134" s="22">
        <f t="shared" si="121"/>
        <v>464.16404310302795</v>
      </c>
      <c r="CX134" s="60">
        <f t="shared" si="122"/>
        <v>757.49737643636126</v>
      </c>
      <c r="CY134" s="60">
        <f ca="1">AVERAGE(OFFSET($CX$3,0,0,'Données projet'!$E$13+1,1))-AVERAGE(OFFSET($H$3,0,0,'Données projet'!$E$13+1,1))</f>
        <v>345.71694170753534</v>
      </c>
      <c r="CZ134" s="60">
        <f t="shared" si="150"/>
        <v>154.08406475869634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261.4871999999994</v>
      </c>
      <c r="P135" s="14">
        <f t="shared" si="141"/>
        <v>63.03928358680222</v>
      </c>
      <c r="Q135" s="22">
        <f t="shared" si="108"/>
        <v>565.21695891367949</v>
      </c>
      <c r="R135" s="60">
        <f t="shared" si="109"/>
        <v>858.55029224701275</v>
      </c>
      <c r="S135" s="60">
        <f ca="1">AVERAGE(OFFSET($R$3,0,0,'Données projet'!$E$9+1,1))-AVERAGE(OFFSET($H$3,0,0,'Données projet'!$E$9+1,1))</f>
        <v>430.21146937947236</v>
      </c>
      <c r="T135" s="60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-1.6227659216383472E-13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370.04285308422544</v>
      </c>
      <c r="AO135" s="60">
        <f t="shared" si="144"/>
        <v>218.53758068502731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-2.8421709430404007E-13</v>
      </c>
      <c r="BE135" s="14">
        <f>BD135*VLOOKUP('Données projet'!$B$11,Paramètres!$A$1:$I$89,3,0)*VLOOKUP('Données projet'!$B$11,Paramètres!$A$1:$I$89,5,0)</f>
        <v>-1.69961822393816E-13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225.82185458224626</v>
      </c>
      <c r="BJ135" s="60">
        <f t="shared" si="146"/>
        <v>363.02009369315243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13.907803106747648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2.7802392733828E-12</v>
      </c>
      <c r="BS135" s="24">
        <f t="shared" si="117"/>
        <v>13.907803106750428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</v>
      </c>
      <c r="BY135" s="13">
        <f>IF('Données projet'!$A$114&gt;35,BY134+BX135-CG134,IF(A135&lt;'Données projet'!$A$114,$BV$205^A135,IF(A135='Données projet'!$A$114,'Données projet'!$B$114,BY134+BX135-CG134)))</f>
        <v>223.00000000000011</v>
      </c>
      <c r="BZ135" s="14">
        <f>BY135*VLOOKUP('Données projet'!$B$12,Paramètres!$A$1:$I$89,3,0)*VLOOKUP('Données projet'!$B$12,Paramètres!$A$1:$I$89,5,0)</f>
        <v>240.0372000000001</v>
      </c>
      <c r="CA135" s="14">
        <f t="shared" si="147"/>
        <v>58.447534171232547</v>
      </c>
      <c r="CB135" s="22">
        <f t="shared" si="118"/>
        <v>519.86091201489683</v>
      </c>
      <c r="CC135" s="60">
        <f t="shared" si="119"/>
        <v>813.1942453482302</v>
      </c>
      <c r="CD135" s="60">
        <f ca="1">AVERAGE(OFFSET($CC$3,0,0,'Données projet'!$E$12+1,1))-AVERAGE(OFFSET($H$3,0,0,'Données projet'!$E$12+1,1))</f>
        <v>380.16582491288449</v>
      </c>
      <c r="CE135" s="60">
        <f t="shared" si="148"/>
        <v>166.97658184507776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</v>
      </c>
      <c r="CT135" s="13">
        <f>IF('Données projet'!$A$140&gt;35,CT134+CS135-DB134,IF(A135&lt;'Données projet'!$A$140,$CQ$205^A135,IF(A135='Données projet'!$A$140,'Données projet'!$B$140,CT134+CS135-DB134)))</f>
        <v>223.00000000000011</v>
      </c>
      <c r="CU135" s="18">
        <f>CT135*VLOOKUP('Données projet'!$B$13,Paramètres!$A$1:$I$89,3,0)*VLOOKUP('Données projet'!$B$13,Paramètres!$A$1:$I$89,5,0)</f>
        <v>215.68560000000014</v>
      </c>
      <c r="CV135" s="14">
        <f t="shared" si="149"/>
        <v>53.176094040576729</v>
      </c>
      <c r="CW135" s="22">
        <f t="shared" si="121"/>
        <v>468.26745045400463</v>
      </c>
      <c r="CX135" s="60">
        <f t="shared" si="122"/>
        <v>761.60078378733795</v>
      </c>
      <c r="CY135" s="60">
        <f ca="1">AVERAGE(OFFSET($CX$3,0,0,'Données projet'!$E$13+1,1))-AVERAGE(OFFSET($H$3,0,0,'Données projet'!$E$13+1,1))</f>
        <v>345.71694170753534</v>
      </c>
      <c r="CZ135" s="60">
        <f t="shared" si="150"/>
        <v>154.08406475869634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264.20159999999936</v>
      </c>
      <c r="P136" s="14">
        <f t="shared" si="141"/>
        <v>63.617151975096597</v>
      </c>
      <c r="Q136" s="22">
        <f t="shared" si="108"/>
        <v>570.95099302329209</v>
      </c>
      <c r="R136" s="60">
        <f t="shared" si="109"/>
        <v>864.28432635662534</v>
      </c>
      <c r="S136" s="60">
        <f ca="1">AVERAGE(OFFSET($R$3,0,0,'Données projet'!$E$9+1,1))-AVERAGE(OFFSET($H$3,0,0,'Données projet'!$E$9+1,1))</f>
        <v>430.21146937947236</v>
      </c>
      <c r="T136" s="60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-1.6227659216383472E-13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370.04285308422544</v>
      </c>
      <c r="AO136" s="60">
        <f t="shared" si="144"/>
        <v>218.53758068502731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-2.8421709430404007E-13</v>
      </c>
      <c r="BE136" s="14">
        <f>BD136*VLOOKUP('Données projet'!$B$11,Paramètres!$A$1:$I$89,3,0)*VLOOKUP('Données projet'!$B$11,Paramètres!$A$1:$I$89,5,0)</f>
        <v>-1.69961822393816E-13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225.82185458224626</v>
      </c>
      <c r="BJ136" s="60">
        <f t="shared" si="146"/>
        <v>363.02009369315243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13.635079570746603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1.9659260435301374E-12</v>
      </c>
      <c r="BS136" s="24">
        <f t="shared" si="117"/>
        <v>13.635079570748569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</v>
      </c>
      <c r="BY136" s="13">
        <f>IF('Données projet'!$A$114&gt;35,BY135+BX136-CG135,IF(A136&lt;'Données projet'!$A$114,$BV$205^A136,IF(A136='Données projet'!$A$114,'Données projet'!$B$114,BY135+BX136-CG135)))</f>
        <v>225.00000000000011</v>
      </c>
      <c r="BZ136" s="14">
        <f>BY136*VLOOKUP('Données projet'!$B$12,Paramètres!$A$1:$I$89,3,0)*VLOOKUP('Données projet'!$B$12,Paramètres!$A$1:$I$89,5,0)</f>
        <v>242.19000000000008</v>
      </c>
      <c r="CA136" s="14">
        <f t="shared" si="147"/>
        <v>58.910470259429353</v>
      </c>
      <c r="CB136" s="22">
        <f t="shared" si="118"/>
        <v>524.41665236850611</v>
      </c>
      <c r="CC136" s="60">
        <f t="shared" si="119"/>
        <v>817.74998570183948</v>
      </c>
      <c r="CD136" s="60">
        <f ca="1">AVERAGE(OFFSET($CC$3,0,0,'Données projet'!$E$12+1,1))-AVERAGE(OFFSET($H$3,0,0,'Données projet'!$E$12+1,1))</f>
        <v>380.16582491288449</v>
      </c>
      <c r="CE136" s="60">
        <f t="shared" si="148"/>
        <v>166.97658184507776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</v>
      </c>
      <c r="CT136" s="13">
        <f>IF('Données projet'!$A$140&gt;35,CT135+CS136-DB135,IF(A136&lt;'Données projet'!$A$140,$CQ$205^A136,IF(A136='Données projet'!$A$140,'Données projet'!$B$140,CT135+CS136-DB135)))</f>
        <v>225.00000000000011</v>
      </c>
      <c r="CU136" s="18">
        <f>CT136*VLOOKUP('Données projet'!$B$13,Paramètres!$A$1:$I$89,3,0)*VLOOKUP('Données projet'!$B$13,Paramètres!$A$1:$I$89,5,0)</f>
        <v>217.62000000000009</v>
      </c>
      <c r="CV136" s="14">
        <f t="shared" si="149"/>
        <v>53.597277471320098</v>
      </c>
      <c r="CW136" s="22">
        <f t="shared" si="121"/>
        <v>472.37009159588268</v>
      </c>
      <c r="CX136" s="60">
        <f t="shared" si="122"/>
        <v>765.703424929216</v>
      </c>
      <c r="CY136" s="60">
        <f ca="1">AVERAGE(OFFSET($CX$3,0,0,'Données projet'!$E$13+1,1))-AVERAGE(OFFSET($H$3,0,0,'Données projet'!$E$13+1,1))</f>
        <v>345.71694170753534</v>
      </c>
      <c r="CZ136" s="60">
        <f t="shared" si="150"/>
        <v>154.08406475869634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266.91599999999937</v>
      </c>
      <c r="P137" s="14">
        <f t="shared" si="141"/>
        <v>64.194329696332005</v>
      </c>
      <c r="Q137" s="22">
        <f t="shared" si="108"/>
        <v>576.68382422111051</v>
      </c>
      <c r="R137" s="60">
        <f t="shared" si="109"/>
        <v>870.01715755444388</v>
      </c>
      <c r="S137" s="60">
        <f ca="1">AVERAGE(OFFSET($R$3,0,0,'Données projet'!$E$9+1,1))-AVERAGE(OFFSET($H$3,0,0,'Données projet'!$E$9+1,1))</f>
        <v>430.21146937947236</v>
      </c>
      <c r="T137" s="60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-1.6227659216383472E-13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370.04285308422544</v>
      </c>
      <c r="AO137" s="60">
        <f t="shared" si="144"/>
        <v>218.53758068502731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-2.8421709430404007E-13</v>
      </c>
      <c r="BE137" s="14">
        <f>BD137*VLOOKUP('Données projet'!$B$11,Paramètres!$A$1:$I$89,3,0)*VLOOKUP('Données projet'!$B$11,Paramètres!$A$1:$I$89,5,0)</f>
        <v>-1.69961822393816E-13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225.82185458224626</v>
      </c>
      <c r="BJ137" s="60">
        <f t="shared" si="146"/>
        <v>363.02009369315243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13.367703976941607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1.3901196366914E-12</v>
      </c>
      <c r="BS137" s="24">
        <f t="shared" si="117"/>
        <v>13.367703976942998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</v>
      </c>
      <c r="BY137" s="13">
        <f>IF('Données projet'!$A$114&gt;35,BY136+BX137-CG136,IF(A137&lt;'Données projet'!$A$114,$BV$205^A137,IF(A137='Données projet'!$A$114,'Données projet'!$B$114,BY136+BX137-CG136)))</f>
        <v>227.00000000000011</v>
      </c>
      <c r="BZ137" s="14">
        <f>BY137*VLOOKUP('Données projet'!$B$12,Paramètres!$A$1:$I$89,3,0)*VLOOKUP('Données projet'!$B$12,Paramètres!$A$1:$I$89,5,0)</f>
        <v>244.3428000000001</v>
      </c>
      <c r="CA137" s="14">
        <f t="shared" si="147"/>
        <v>59.372927604128122</v>
      </c>
      <c r="CB137" s="22">
        <f t="shared" si="118"/>
        <v>528.9715589105233</v>
      </c>
      <c r="CC137" s="60">
        <f t="shared" si="119"/>
        <v>822.30489224385656</v>
      </c>
      <c r="CD137" s="60">
        <f ca="1">AVERAGE(OFFSET($CC$3,0,0,'Données projet'!$E$12+1,1))-AVERAGE(OFFSET($H$3,0,0,'Données projet'!$E$12+1,1))</f>
        <v>380.16582491288449</v>
      </c>
      <c r="CE137" s="60">
        <f t="shared" si="148"/>
        <v>166.97658184507776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</v>
      </c>
      <c r="CT137" s="13">
        <f>IF('Données projet'!$A$140&gt;35,CT136+CS137-DB136,IF(A137&lt;'Données projet'!$A$140,$CQ$205^A137,IF(A137='Données projet'!$A$140,'Données projet'!$B$140,CT136+CS137-DB136)))</f>
        <v>227.00000000000011</v>
      </c>
      <c r="CU137" s="18">
        <f>CT137*VLOOKUP('Données projet'!$B$13,Paramètres!$A$1:$I$89,3,0)*VLOOKUP('Données projet'!$B$13,Paramètres!$A$1:$I$89,5,0)</f>
        <v>219.5544000000001</v>
      </c>
      <c r="CV137" s="14">
        <f t="shared" si="149"/>
        <v>54.018025336908551</v>
      </c>
      <c r="CW137" s="22">
        <f t="shared" si="121"/>
        <v>476.47197412844918</v>
      </c>
      <c r="CX137" s="60">
        <f t="shared" si="122"/>
        <v>769.80530746178249</v>
      </c>
      <c r="CY137" s="60">
        <f ca="1">AVERAGE(OFFSET($CX$3,0,0,'Données projet'!$E$13+1,1))-AVERAGE(OFFSET($H$3,0,0,'Données projet'!$E$13+1,1))</f>
        <v>345.71694170753534</v>
      </c>
      <c r="CZ137" s="60">
        <f t="shared" si="150"/>
        <v>154.08406475869634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269.63039999999938</v>
      </c>
      <c r="P138" s="14">
        <f t="shared" si="141"/>
        <v>64.770824587435968</v>
      </c>
      <c r="Q138" s="22">
        <f t="shared" si="108"/>
        <v>582.41546615644995</v>
      </c>
      <c r="R138" s="60">
        <f t="shared" si="109"/>
        <v>875.74879948978332</v>
      </c>
      <c r="S138" s="60">
        <f ca="1">AVERAGE(OFFSET($R$3,0,0,'Données projet'!$E$9+1,1))-AVERAGE(OFFSET($H$3,0,0,'Données projet'!$E$9+1,1))</f>
        <v>430.21146937947236</v>
      </c>
      <c r="T138" s="60">
        <f t="shared" si="142"/>
        <v>231.36959598460686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-1.6227659216383472E-13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370.04285308422544</v>
      </c>
      <c r="AO138" s="60">
        <f t="shared" si="144"/>
        <v>218.53758068502731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-2.8421709430404007E-13</v>
      </c>
      <c r="BE138" s="14">
        <f>BD138*VLOOKUP('Données projet'!$B$11,Paramètres!$A$1:$I$89,3,0)*VLOOKUP('Données projet'!$B$11,Paramètres!$A$1:$I$89,5,0)</f>
        <v>-1.69961822393816E-13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225.82185458224626</v>
      </c>
      <c r="BJ138" s="60">
        <f t="shared" si="146"/>
        <v>363.02009369315243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13.105571455448118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9.829630217650687E-13</v>
      </c>
      <c r="BS138" s="24">
        <f t="shared" si="117"/>
        <v>13.1055714554491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229</v>
      </c>
      <c r="BW138" s="13">
        <f>VLOOKUP(A138,'Données projet'!$A$113:$I$133,9,0)</f>
        <v>2</v>
      </c>
      <c r="BX138" s="13">
        <f t="array" ref="BX138">INDEX(BW:BW,MIN(IF(ISNUMBER(BW138:BW334),ROW(BW138:BW334),"")))</f>
        <v>2</v>
      </c>
      <c r="BY138" s="13">
        <f>IF('Données projet'!$A$114&gt;35,BY137+BX138-CG137,IF(A138&lt;'Données projet'!$A$114,$BV$205^A138,IF(A138='Données projet'!$A$114,'Données projet'!$B$114,BY137+BX138-CG137)))</f>
        <v>229.00000000000011</v>
      </c>
      <c r="BZ138" s="14">
        <f>BY138*VLOOKUP('Données projet'!$B$12,Paramètres!$A$1:$I$89,3,0)*VLOOKUP('Données projet'!$B$12,Paramètres!$A$1:$I$89,5,0)</f>
        <v>246.49560000000014</v>
      </c>
      <c r="CA138" s="14">
        <f t="shared" si="147"/>
        <v>59.834910912017335</v>
      </c>
      <c r="CB138" s="22">
        <f t="shared" si="118"/>
        <v>533.52563983843038</v>
      </c>
      <c r="CC138" s="60">
        <f t="shared" si="119"/>
        <v>826.85897317176364</v>
      </c>
      <c r="CD138" s="60">
        <f ca="1">AVERAGE(OFFSET($CC$3,0,0,'Données projet'!$E$12+1,1))-AVERAGE(OFFSET($H$3,0,0,'Données projet'!$E$12+1,1))</f>
        <v>380.16582491288449</v>
      </c>
      <c r="CE138" s="60">
        <f t="shared" si="148"/>
        <v>166.97658184507776</v>
      </c>
      <c r="CF138" s="16">
        <f>IF(ISNA(VLOOKUP(A138,'Données projet'!$A$113:$I$133,3,0)),0,VLOOKUP(A138,'Données projet'!$A$113:$I$133,3,0))</f>
        <v>11</v>
      </c>
      <c r="CG138" s="16">
        <f>IF(ISNA(VLOOKUP(A138,'Données projet'!$A$113:$I$133,4,0)),0,VLOOKUP(A138,'Données projet'!$A$113:$I$133,4,0))</f>
        <v>19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229</v>
      </c>
      <c r="CR138" s="13">
        <f>VLOOKUP(A138,'Données projet'!$A$139:$I$159,9,0)</f>
        <v>2</v>
      </c>
      <c r="CS138" s="13">
        <f t="array" ref="CS138">INDEX(CR:CR,MIN(IF(ISNUMBER(CR138:CR334),ROW(CR138:CR334),"")))</f>
        <v>2</v>
      </c>
      <c r="CT138" s="13">
        <f>IF('Données projet'!$A$140&gt;35,CT137+CS138-DB137,IF(A138&lt;'Données projet'!$A$140,$CQ$205^A138,IF(A138='Données projet'!$A$140,'Données projet'!$B$140,CT137+CS138-DB137)))</f>
        <v>229.00000000000011</v>
      </c>
      <c r="CU138" s="18">
        <f>CT138*VLOOKUP('Données projet'!$B$13,Paramètres!$A$1:$I$89,3,0)*VLOOKUP('Données projet'!$B$13,Paramètres!$A$1:$I$89,5,0)</f>
        <v>221.48880000000011</v>
      </c>
      <c r="CV138" s="14">
        <f t="shared" si="149"/>
        <v>54.43834191952984</v>
      </c>
      <c r="CW138" s="22">
        <f t="shared" si="121"/>
        <v>480.57310550984795</v>
      </c>
      <c r="CX138" s="60">
        <f t="shared" si="122"/>
        <v>773.90643884318126</v>
      </c>
      <c r="CY138" s="60">
        <f ca="1">AVERAGE(OFFSET($CX$3,0,0,'Données projet'!$E$13+1,1))-AVERAGE(OFFSET($H$3,0,0,'Données projet'!$E$13+1,1))</f>
        <v>345.71694170753534</v>
      </c>
      <c r="CZ138" s="60">
        <f t="shared" si="150"/>
        <v>154.08406475869634</v>
      </c>
      <c r="DA138" s="16">
        <f>IF(ISNA(VLOOKUP(A138,'Données projet'!$A$139:$I$159,3,0)),0,VLOOKUP(A138,'Données projet'!$A$139:$I$159,3,0))</f>
        <v>11</v>
      </c>
      <c r="DB138" s="16">
        <f>IF(ISNA(VLOOKUP(A138,'Données projet'!$A$139:$I$159,4,0)),0,VLOOKUP(A138,'Données projet'!$A$139:$I$159,4,0))</f>
        <v>19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245.74367999999939</v>
      </c>
      <c r="P139" s="14">
        <f t="shared" si="141"/>
        <v>59.673605104126288</v>
      </c>
      <c r="Q139" s="22">
        <f t="shared" si="108"/>
        <v>531.93510488968548</v>
      </c>
      <c r="R139" s="60">
        <f t="shared" si="109"/>
        <v>825.26843822301885</v>
      </c>
      <c r="S139" s="60">
        <f ca="1">AVERAGE(OFFSET($R$3,0,0,'Données projet'!$E$9+1,1))-AVERAGE(OFFSET($H$3,0,0,'Données projet'!$E$9+1,1))</f>
        <v>430.21146937947236</v>
      </c>
      <c r="T139" s="60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-1.6227659216383472E-13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370.04285308422544</v>
      </c>
      <c r="AO139" s="60">
        <f t="shared" si="144"/>
        <v>218.53758068502731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-2.8421709430404007E-13</v>
      </c>
      <c r="BE139" s="14">
        <f>BD139*VLOOKUP('Données projet'!$B$11,Paramètres!$A$1:$I$89,3,0)*VLOOKUP('Données projet'!$B$11,Paramètres!$A$1:$I$89,5,0)</f>
        <v>-1.69961822393816E-13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225.82185458224626</v>
      </c>
      <c r="BJ139" s="60">
        <f t="shared" si="146"/>
        <v>363.02009369315243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12.848579192816064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6.9505981834569999E-13</v>
      </c>
      <c r="BS139" s="24">
        <f t="shared" si="117"/>
        <v>12.848579192816759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1.6</v>
      </c>
      <c r="BY139" s="13">
        <f>IF('Données projet'!$A$114&gt;35,BY138+BX139-CG138,IF(A139&lt;'Données projet'!$A$114,$BV$205^A139,IF(A139='Données projet'!$A$114,'Données projet'!$B$114,BY138+BX139-CG138)))</f>
        <v>211.60000000000011</v>
      </c>
      <c r="BZ139" s="14">
        <f>BY139*VLOOKUP('Données projet'!$B$12,Paramètres!$A$1:$I$89,3,0)*VLOOKUP('Données projet'!$B$12,Paramètres!$A$1:$I$89,5,0)</f>
        <v>227.76624000000012</v>
      </c>
      <c r="CA139" s="14">
        <f t="shared" si="147"/>
        <v>55.799416396900632</v>
      </c>
      <c r="CB139" s="22">
        <f t="shared" si="118"/>
        <v>493.87685155793548</v>
      </c>
      <c r="CC139" s="60">
        <f t="shared" si="119"/>
        <v>787.2101848912688</v>
      </c>
      <c r="CD139" s="60">
        <f ca="1">AVERAGE(OFFSET($CC$3,0,0,'Données projet'!$E$12+1,1))-AVERAGE(OFFSET($H$3,0,0,'Données projet'!$E$12+1,1))</f>
        <v>380.16582491288449</v>
      </c>
      <c r="CE139" s="60">
        <f t="shared" si="148"/>
        <v>166.97658184507776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1.6</v>
      </c>
      <c r="CT139" s="13">
        <f>IF('Données projet'!$A$140&gt;35,CT138+CS139-DB138,IF(A139&lt;'Données projet'!$A$140,$CQ$205^A139,IF(A139='Données projet'!$A$140,'Données projet'!$B$140,CT138+CS139-DB138)))</f>
        <v>211.60000000000011</v>
      </c>
      <c r="CU139" s="18">
        <f>CT139*VLOOKUP('Données projet'!$B$13,Paramètres!$A$1:$I$89,3,0)*VLOOKUP('Données projet'!$B$13,Paramètres!$A$1:$I$89,5,0)</f>
        <v>204.6595200000001</v>
      </c>
      <c r="CV139" s="14">
        <f t="shared" si="149"/>
        <v>50.766812591921394</v>
      </c>
      <c r="CW139" s="22">
        <f t="shared" si="121"/>
        <v>444.86752926426328</v>
      </c>
      <c r="CX139" s="60">
        <f t="shared" si="122"/>
        <v>738.2008625975966</v>
      </c>
      <c r="CY139" s="60">
        <f ca="1">AVERAGE(OFFSET($CX$3,0,0,'Données projet'!$E$13+1,1))-AVERAGE(OFFSET($H$3,0,0,'Données projet'!$E$13+1,1))</f>
        <v>345.71694170753534</v>
      </c>
      <c r="CZ139" s="60">
        <f t="shared" si="150"/>
        <v>154.08406475869634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248.09615999999943</v>
      </c>
      <c r="P140" s="14">
        <f t="shared" si="141"/>
        <v>60.178080967364579</v>
      </c>
      <c r="Q140" s="22">
        <f t="shared" si="108"/>
        <v>536.91096968482555</v>
      </c>
      <c r="R140" s="60">
        <f t="shared" si="109"/>
        <v>830.24430301815892</v>
      </c>
      <c r="S140" s="60">
        <f ca="1">AVERAGE(OFFSET($R$3,0,0,'Données projet'!$E$9+1,1))-AVERAGE(OFFSET($H$3,0,0,'Données projet'!$E$9+1,1))</f>
        <v>430.21146937947236</v>
      </c>
      <c r="T140" s="60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-1.6227659216383472E-13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370.04285308422544</v>
      </c>
      <c r="AO140" s="60">
        <f t="shared" si="144"/>
        <v>218.53758068502731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-2.8421709430404007E-13</v>
      </c>
      <c r="BE140" s="14">
        <f>BD140*VLOOKUP('Données projet'!$B$11,Paramètres!$A$1:$I$89,3,0)*VLOOKUP('Données projet'!$B$11,Paramètres!$A$1:$I$89,5,0)</f>
        <v>-1.69961822393816E-13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225.82185458224626</v>
      </c>
      <c r="BJ140" s="60">
        <f t="shared" si="146"/>
        <v>363.02009369315243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12.596626391704424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4.9148151088253435E-13</v>
      </c>
      <c r="BS140" s="24">
        <f t="shared" si="117"/>
        <v>12.596626391704916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1.6</v>
      </c>
      <c r="BY140" s="13">
        <f>IF('Données projet'!$A$114&gt;35,BY139+BX140-CG139,IF(A140&lt;'Données projet'!$A$114,$BV$205^A140,IF(A140='Données projet'!$A$114,'Données projet'!$B$114,BY139+BX140-CG139)))</f>
        <v>213.2000000000001</v>
      </c>
      <c r="BZ140" s="14">
        <f>BY140*VLOOKUP('Données projet'!$B$12,Paramètres!$A$1:$I$89,3,0)*VLOOKUP('Données projet'!$B$12,Paramètres!$A$1:$I$89,5,0)</f>
        <v>229.4884800000001</v>
      </c>
      <c r="CA140" s="14">
        <f t="shared" si="147"/>
        <v>56.17206461989467</v>
      </c>
      <c r="CB140" s="22">
        <f t="shared" si="118"/>
        <v>497.52544854631668</v>
      </c>
      <c r="CC140" s="60">
        <f t="shared" si="119"/>
        <v>790.85878187965</v>
      </c>
      <c r="CD140" s="60">
        <f ca="1">AVERAGE(OFFSET($CC$3,0,0,'Données projet'!$E$12+1,1))-AVERAGE(OFFSET($H$3,0,0,'Données projet'!$E$12+1,1))</f>
        <v>380.16582491288449</v>
      </c>
      <c r="CE140" s="60">
        <f t="shared" si="148"/>
        <v>166.97658184507776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1.6</v>
      </c>
      <c r="CT140" s="13">
        <f>IF('Données projet'!$A$140&gt;35,CT139+CS140-DB139,IF(A140&lt;'Données projet'!$A$140,$CQ$205^A140,IF(A140='Données projet'!$A$140,'Données projet'!$B$140,CT139+CS140-DB139)))</f>
        <v>213.2000000000001</v>
      </c>
      <c r="CU140" s="18">
        <f>CT140*VLOOKUP('Données projet'!$B$13,Paramètres!$A$1:$I$89,3,0)*VLOOKUP('Données projet'!$B$13,Paramètres!$A$1:$I$89,5,0)</f>
        <v>206.20704000000009</v>
      </c>
      <c r="CV140" s="14">
        <f t="shared" si="149"/>
        <v>51.105851308113131</v>
      </c>
      <c r="CW140" s="22">
        <f t="shared" si="121"/>
        <v>448.15328569496381</v>
      </c>
      <c r="CX140" s="60">
        <f t="shared" si="122"/>
        <v>741.48661902829713</v>
      </c>
      <c r="CY140" s="60">
        <f ca="1">AVERAGE(OFFSET($CX$3,0,0,'Données projet'!$E$13+1,1))-AVERAGE(OFFSET($H$3,0,0,'Données projet'!$E$13+1,1))</f>
        <v>345.71694170753534</v>
      </c>
      <c r="CZ140" s="60">
        <f t="shared" si="150"/>
        <v>154.08406475869634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250.44863999999944</v>
      </c>
      <c r="P141" s="14">
        <f t="shared" si="141"/>
        <v>60.682000328889892</v>
      </c>
      <c r="Q141" s="22">
        <f t="shared" si="108"/>
        <v>541.88586523948231</v>
      </c>
      <c r="R141" s="60">
        <f t="shared" si="109"/>
        <v>835.21919857281569</v>
      </c>
      <c r="S141" s="60">
        <f ca="1">AVERAGE(OFFSET($R$3,0,0,'Données projet'!$E$9+1,1))-AVERAGE(OFFSET($H$3,0,0,'Données projet'!$E$9+1,1))</f>
        <v>430.21146937947236</v>
      </c>
      <c r="T141" s="60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-1.6227659216383472E-13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370.04285308422544</v>
      </c>
      <c r="AO141" s="60">
        <f t="shared" si="144"/>
        <v>218.53758068502731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-2.8421709430404007E-13</v>
      </c>
      <c r="BE141" s="14">
        <f>BD141*VLOOKUP('Données projet'!$B$11,Paramètres!$A$1:$I$89,3,0)*VLOOKUP('Données projet'!$B$11,Paramètres!$A$1:$I$89,5,0)</f>
        <v>-1.69961822393816E-13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225.82185458224626</v>
      </c>
      <c r="BJ141" s="60">
        <f t="shared" si="146"/>
        <v>363.02009369315243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12.349614231346548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3.4752990917285E-13</v>
      </c>
      <c r="BS141" s="24">
        <f t="shared" si="117"/>
        <v>12.349614231346896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1.6</v>
      </c>
      <c r="BY141" s="13">
        <f>IF('Données projet'!$A$114&gt;35,BY140+BX141-CG140,IF(A141&lt;'Données projet'!$A$114,$BV$205^A141,IF(A141='Données projet'!$A$114,'Données projet'!$B$114,BY140+BX141-CG140)))</f>
        <v>214.8000000000001</v>
      </c>
      <c r="BZ141" s="14">
        <f>BY141*VLOOKUP('Données projet'!$B$12,Paramètres!$A$1:$I$89,3,0)*VLOOKUP('Données projet'!$B$12,Paramètres!$A$1:$I$89,5,0)</f>
        <v>231.21072000000007</v>
      </c>
      <c r="CA141" s="14">
        <f t="shared" si="147"/>
        <v>56.544387456445271</v>
      </c>
      <c r="CB141" s="22">
        <f t="shared" si="118"/>
        <v>501.17347881997563</v>
      </c>
      <c r="CC141" s="60">
        <f t="shared" si="119"/>
        <v>794.50681215330894</v>
      </c>
      <c r="CD141" s="60">
        <f ca="1">AVERAGE(OFFSET($CC$3,0,0,'Données projet'!$E$12+1,1))-AVERAGE(OFFSET($H$3,0,0,'Données projet'!$E$12+1,1))</f>
        <v>380.16582491288449</v>
      </c>
      <c r="CE141" s="60">
        <f t="shared" si="148"/>
        <v>166.97658184507776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1.6</v>
      </c>
      <c r="CT141" s="13">
        <f>IF('Données projet'!$A$140&gt;35,CT140+CS141-DB140,IF(A141&lt;'Données projet'!$A$140,$CQ$205^A141,IF(A141='Données projet'!$A$140,'Données projet'!$B$140,CT140+CS141-DB140)))</f>
        <v>214.8000000000001</v>
      </c>
      <c r="CU141" s="18">
        <f>CT141*VLOOKUP('Données projet'!$B$13,Paramètres!$A$1:$I$89,3,0)*VLOOKUP('Données projet'!$B$13,Paramètres!$A$1:$I$89,5,0)</f>
        <v>207.75456000000011</v>
      </c>
      <c r="CV141" s="14">
        <f t="shared" si="149"/>
        <v>51.44459398478218</v>
      </c>
      <c r="CW141" s="22">
        <f t="shared" si="121"/>
        <v>451.4385265234958</v>
      </c>
      <c r="CX141" s="60">
        <f t="shared" si="122"/>
        <v>744.77185985682911</v>
      </c>
      <c r="CY141" s="60">
        <f ca="1">AVERAGE(OFFSET($CX$3,0,0,'Données projet'!$E$13+1,1))-AVERAGE(OFFSET($H$3,0,0,'Données projet'!$E$13+1,1))</f>
        <v>345.71694170753534</v>
      </c>
      <c r="CZ141" s="60">
        <f t="shared" si="150"/>
        <v>154.08406475869634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252.80111999999946</v>
      </c>
      <c r="P142" s="14">
        <f t="shared" si="141"/>
        <v>61.185369021394152</v>
      </c>
      <c r="Q142" s="22">
        <f t="shared" si="108"/>
        <v>546.85980171226049</v>
      </c>
      <c r="R142" s="60">
        <f t="shared" si="109"/>
        <v>840.19313504559386</v>
      </c>
      <c r="S142" s="60">
        <f ca="1">AVERAGE(OFFSET($R$3,0,0,'Données projet'!$E$9+1,1))-AVERAGE(OFFSET($H$3,0,0,'Données projet'!$E$9+1,1))</f>
        <v>430.21146937947236</v>
      </c>
      <c r="T142" s="60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-1.6227659216383472E-13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370.04285308422544</v>
      </c>
      <c r="AO142" s="60">
        <f t="shared" si="144"/>
        <v>218.53758068502731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-2.8421709430404007E-13</v>
      </c>
      <c r="BE142" s="14">
        <f>BD142*VLOOKUP('Données projet'!$B$11,Paramètres!$A$1:$I$89,3,0)*VLOOKUP('Données projet'!$B$11,Paramètres!$A$1:$I$89,5,0)</f>
        <v>-1.69961822393816E-13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225.82185458224626</v>
      </c>
      <c r="BJ142" s="60">
        <f t="shared" si="146"/>
        <v>363.02009369315243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12.107445828790748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2.4574075544126717E-13</v>
      </c>
      <c r="BS142" s="24">
        <f t="shared" si="117"/>
        <v>12.107445828790993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1.6</v>
      </c>
      <c r="BY142" s="13">
        <f>IF('Données projet'!$A$114&gt;35,BY141+BX142-CG141,IF(A142&lt;'Données projet'!$A$114,$BV$205^A142,IF(A142='Données projet'!$A$114,'Données projet'!$B$114,BY141+BX142-CG141)))</f>
        <v>216.40000000000009</v>
      </c>
      <c r="BZ142" s="14">
        <f>BY142*VLOOKUP('Données projet'!$B$12,Paramètres!$A$1:$I$89,3,0)*VLOOKUP('Données projet'!$B$12,Paramètres!$A$1:$I$89,5,0)</f>
        <v>232.93296000000009</v>
      </c>
      <c r="CA142" s="14">
        <f t="shared" si="147"/>
        <v>56.916387611287874</v>
      </c>
      <c r="CB142" s="22">
        <f t="shared" si="118"/>
        <v>504.82094708965991</v>
      </c>
      <c r="CC142" s="60">
        <f t="shared" si="119"/>
        <v>798.15428042299322</v>
      </c>
      <c r="CD142" s="60">
        <f ca="1">AVERAGE(OFFSET($CC$3,0,0,'Données projet'!$E$12+1,1))-AVERAGE(OFFSET($H$3,0,0,'Données projet'!$E$12+1,1))</f>
        <v>380.16582491288449</v>
      </c>
      <c r="CE142" s="60">
        <f t="shared" si="148"/>
        <v>166.97658184507776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1.6</v>
      </c>
      <c r="CT142" s="13">
        <f>IF('Données projet'!$A$140&gt;35,CT141+CS142-DB141,IF(A142&lt;'Données projet'!$A$140,$CQ$205^A142,IF(A142='Données projet'!$A$140,'Données projet'!$B$140,CT141+CS142-DB141)))</f>
        <v>216.40000000000009</v>
      </c>
      <c r="CU142" s="18">
        <f>CT142*VLOOKUP('Données projet'!$B$13,Paramètres!$A$1:$I$89,3,0)*VLOOKUP('Données projet'!$B$13,Paramètres!$A$1:$I$89,5,0)</f>
        <v>209.3020800000001</v>
      </c>
      <c r="CV142" s="14">
        <f t="shared" si="149"/>
        <v>51.78304308272125</v>
      </c>
      <c r="CW142" s="22">
        <f t="shared" si="121"/>
        <v>454.72325603573967</v>
      </c>
      <c r="CX142" s="60">
        <f t="shared" si="122"/>
        <v>748.05658936907298</v>
      </c>
      <c r="CY142" s="60">
        <f ca="1">AVERAGE(OFFSET($CX$3,0,0,'Données projet'!$E$13+1,1))-AVERAGE(OFFSET($H$3,0,0,'Données projet'!$E$13+1,1))</f>
        <v>345.71694170753534</v>
      </c>
      <c r="CZ142" s="60">
        <f t="shared" si="150"/>
        <v>154.08406475869634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255.15359999999947</v>
      </c>
      <c r="P143" s="14">
        <f t="shared" si="141"/>
        <v>61.688192762754319</v>
      </c>
      <c r="Q143" s="22">
        <f t="shared" si="108"/>
        <v>551.83278906179623</v>
      </c>
      <c r="R143" s="60">
        <f t="shared" si="109"/>
        <v>845.16612239512961</v>
      </c>
      <c r="S143" s="60">
        <f ca="1">AVERAGE(OFFSET($R$3,0,0,'Données projet'!$E$9+1,1))-AVERAGE(OFFSET($H$3,0,0,'Données projet'!$E$9+1,1))</f>
        <v>430.21146937947236</v>
      </c>
      <c r="T143" s="60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-1.6227659216383472E-13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370.04285308422544</v>
      </c>
      <c r="AO143" s="60">
        <f t="shared" si="144"/>
        <v>218.53758068502731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-2.8421709430404007E-13</v>
      </c>
      <c r="BE143" s="14">
        <f>BD143*VLOOKUP('Données projet'!$B$11,Paramètres!$A$1:$I$89,3,0)*VLOOKUP('Données projet'!$B$11,Paramètres!$A$1:$I$89,5,0)</f>
        <v>-1.69961822393816E-13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225.82185458224626</v>
      </c>
      <c r="BJ143" s="60">
        <f t="shared" si="146"/>
        <v>363.02009369315243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11.870026200900927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1.73764954586425E-13</v>
      </c>
      <c r="BS143" s="24">
        <f t="shared" si="117"/>
        <v>11.870026200901101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1.6</v>
      </c>
      <c r="BY143" s="13">
        <f>IF('Données projet'!$A$114&gt;35,BY142+BX143-CG142,IF(A143&lt;'Données projet'!$A$114,$BV$205^A143,IF(A143='Données projet'!$A$114,'Données projet'!$B$114,BY142+BX143-CG142)))</f>
        <v>218.00000000000009</v>
      </c>
      <c r="BZ143" s="14">
        <f>BY143*VLOOKUP('Données projet'!$B$12,Paramètres!$A$1:$I$89,3,0)*VLOOKUP('Données projet'!$B$12,Paramètres!$A$1:$I$89,5,0)</f>
        <v>234.65520000000006</v>
      </c>
      <c r="CA143" s="14">
        <f t="shared" si="147"/>
        <v>57.288067746850999</v>
      </c>
      <c r="CB143" s="22">
        <f t="shared" si="118"/>
        <v>508.46785799243224</v>
      </c>
      <c r="CC143" s="60">
        <f t="shared" si="119"/>
        <v>801.80119132576556</v>
      </c>
      <c r="CD143" s="60">
        <f ca="1">AVERAGE(OFFSET($CC$3,0,0,'Données projet'!$E$12+1,1))-AVERAGE(OFFSET($H$3,0,0,'Données projet'!$E$12+1,1))</f>
        <v>380.16582491288449</v>
      </c>
      <c r="CE143" s="60">
        <f t="shared" si="148"/>
        <v>166.97658184507776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1.6</v>
      </c>
      <c r="CT143" s="13">
        <f>IF('Données projet'!$A$140&gt;35,CT142+CS143-DB142,IF(A143&lt;'Données projet'!$A$140,$CQ$205^A143,IF(A143='Données projet'!$A$140,'Données projet'!$B$140,CT142+CS143-DB142)))</f>
        <v>218.00000000000009</v>
      </c>
      <c r="CU143" s="18">
        <f>CT143*VLOOKUP('Données projet'!$B$13,Paramètres!$A$1:$I$89,3,0)*VLOOKUP('Données projet'!$B$13,Paramètres!$A$1:$I$89,5,0)</f>
        <v>210.84960000000009</v>
      </c>
      <c r="CV143" s="14">
        <f t="shared" si="149"/>
        <v>52.121201024231922</v>
      </c>
      <c r="CW143" s="22">
        <f t="shared" si="121"/>
        <v>458.00747845053735</v>
      </c>
      <c r="CX143" s="60">
        <f t="shared" si="122"/>
        <v>751.34081178387066</v>
      </c>
      <c r="CY143" s="60">
        <f ca="1">AVERAGE(OFFSET($CX$3,0,0,'Données projet'!$E$13+1,1))-AVERAGE(OFFSET($H$3,0,0,'Données projet'!$E$13+1,1))</f>
        <v>345.71694170753534</v>
      </c>
      <c r="CZ143" s="60">
        <f t="shared" si="150"/>
        <v>154.08406475869634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257.50607999999949</v>
      </c>
      <c r="P144" s="14">
        <f t="shared" si="141"/>
        <v>62.190477159330406</v>
      </c>
      <c r="Q144" s="22">
        <f t="shared" si="108"/>
        <v>556.80483705249947</v>
      </c>
      <c r="R144" s="60">
        <f t="shared" si="109"/>
        <v>850.13817038583284</v>
      </c>
      <c r="S144" s="60">
        <f ca="1">AVERAGE(OFFSET($R$3,0,0,'Données projet'!$E$9+1,1))-AVERAGE(OFFSET($H$3,0,0,'Données projet'!$E$9+1,1))</f>
        <v>430.21146937947236</v>
      </c>
      <c r="T144" s="60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-1.6227659216383472E-13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370.04285308422544</v>
      </c>
      <c r="AO144" s="60">
        <f t="shared" si="144"/>
        <v>218.53758068502731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-2.8421709430404007E-13</v>
      </c>
      <c r="BE144" s="14">
        <f>BD144*VLOOKUP('Données projet'!$B$11,Paramètres!$A$1:$I$89,3,0)*VLOOKUP('Données projet'!$B$11,Paramètres!$A$1:$I$89,5,0)</f>
        <v>-1.69961822393816E-13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225.82185458224626</v>
      </c>
      <c r="BJ144" s="60">
        <f t="shared" si="146"/>
        <v>363.02009369315243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11.637262227102353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1.2287037772063359E-13</v>
      </c>
      <c r="BS144" s="24">
        <f t="shared" si="117"/>
        <v>11.637262227102475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1.6</v>
      </c>
      <c r="BY144" s="13">
        <f>IF('Données projet'!$A$114&gt;35,BY143+BX144-CG143,IF(A144&lt;'Données projet'!$A$114,$BV$205^A144,IF(A144='Données projet'!$A$114,'Données projet'!$B$114,BY143+BX144-CG143)))</f>
        <v>219.60000000000008</v>
      </c>
      <c r="BZ144" s="14">
        <f>BY144*VLOOKUP('Données projet'!$B$12,Paramètres!$A$1:$I$89,3,0)*VLOOKUP('Données projet'!$B$12,Paramètres!$A$1:$I$89,5,0)</f>
        <v>236.37744000000006</v>
      </c>
      <c r="CA144" s="14">
        <f t="shared" si="147"/>
        <v>57.659430484223826</v>
      </c>
      <c r="CB144" s="22">
        <f t="shared" si="118"/>
        <v>512.1142160933565</v>
      </c>
      <c r="CC144" s="60">
        <f t="shared" si="119"/>
        <v>805.44754942668987</v>
      </c>
      <c r="CD144" s="60">
        <f ca="1">AVERAGE(OFFSET($CC$3,0,0,'Données projet'!$E$12+1,1))-AVERAGE(OFFSET($H$3,0,0,'Données projet'!$E$12+1,1))</f>
        <v>380.16582491288449</v>
      </c>
      <c r="CE144" s="60">
        <f t="shared" si="148"/>
        <v>166.97658184507776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1.6</v>
      </c>
      <c r="CT144" s="13">
        <f>IF('Données projet'!$A$140&gt;35,CT143+CS144-DB143,IF(A144&lt;'Données projet'!$A$140,$CQ$205^A144,IF(A144='Données projet'!$A$140,'Données projet'!$B$140,CT143+CS144-DB143)))</f>
        <v>219.60000000000008</v>
      </c>
      <c r="CU144" s="18">
        <f>CT144*VLOOKUP('Données projet'!$B$13,Paramètres!$A$1:$I$89,3,0)*VLOOKUP('Données projet'!$B$13,Paramètres!$A$1:$I$89,5,0)</f>
        <v>212.39712000000009</v>
      </c>
      <c r="CV144" s="14">
        <f t="shared" si="149"/>
        <v>52.459070194004759</v>
      </c>
      <c r="CW144" s="22">
        <f t="shared" si="121"/>
        <v>461.29119792122509</v>
      </c>
      <c r="CX144" s="60">
        <f t="shared" si="122"/>
        <v>754.62453125455841</v>
      </c>
      <c r="CY144" s="60">
        <f ca="1">AVERAGE(OFFSET($CX$3,0,0,'Données projet'!$E$13+1,1))-AVERAGE(OFFSET($H$3,0,0,'Données projet'!$E$13+1,1))</f>
        <v>345.71694170753534</v>
      </c>
      <c r="CZ144" s="60">
        <f t="shared" si="150"/>
        <v>154.08406475869634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259.8585599999995</v>
      </c>
      <c r="P145" s="14">
        <f t="shared" si="141"/>
        <v>62.692227709138365</v>
      </c>
      <c r="Q145" s="22">
        <f t="shared" si="108"/>
        <v>561.77595526008179</v>
      </c>
      <c r="R145" s="60">
        <f t="shared" si="109"/>
        <v>855.10928859341516</v>
      </c>
      <c r="S145" s="60">
        <f ca="1">AVERAGE(OFFSET($R$3,0,0,'Données projet'!$E$9+1,1))-AVERAGE(OFFSET($H$3,0,0,'Données projet'!$E$9+1,1))</f>
        <v>430.21146937947236</v>
      </c>
      <c r="T145" s="60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-1.6227659216383472E-13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370.04285308422544</v>
      </c>
      <c r="AO145" s="60">
        <f t="shared" si="144"/>
        <v>218.53758068502731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-2.8421709430404007E-13</v>
      </c>
      <c r="BE145" s="14">
        <f>BD145*VLOOKUP('Données projet'!$B$11,Paramètres!$A$1:$I$89,3,0)*VLOOKUP('Données projet'!$B$11,Paramètres!$A$1:$I$89,5,0)</f>
        <v>-1.69961822393816E-13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225.82185458224626</v>
      </c>
      <c r="BJ145" s="60">
        <f t="shared" si="146"/>
        <v>363.02009369315243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11.409062612857962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8.6882477293212499E-14</v>
      </c>
      <c r="BS145" s="24">
        <f t="shared" si="117"/>
        <v>11.409062612858049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1.6</v>
      </c>
      <c r="BY145" s="13">
        <f>IF('Données projet'!$A$114&gt;35,BY144+BX145-CG144,IF(A145&lt;'Données projet'!$A$114,$BV$205^A145,IF(A145='Données projet'!$A$114,'Données projet'!$B$114,BY144+BX145-CG144)))</f>
        <v>221.20000000000007</v>
      </c>
      <c r="BZ145" s="14">
        <f>BY145*VLOOKUP('Données projet'!$B$12,Paramètres!$A$1:$I$89,3,0)*VLOOKUP('Données projet'!$B$12,Paramètres!$A$1:$I$89,5,0)</f>
        <v>238.09968000000006</v>
      </c>
      <c r="CA145" s="14">
        <f t="shared" si="147"/>
        <v>58.030478404094218</v>
      </c>
      <c r="CB145" s="22">
        <f t="shared" si="118"/>
        <v>515.76002588713084</v>
      </c>
      <c r="CC145" s="60">
        <f t="shared" si="119"/>
        <v>809.09335922046421</v>
      </c>
      <c r="CD145" s="60">
        <f ca="1">AVERAGE(OFFSET($CC$3,0,0,'Données projet'!$E$12+1,1))-AVERAGE(OFFSET($H$3,0,0,'Données projet'!$E$12+1,1))</f>
        <v>380.16582491288449</v>
      </c>
      <c r="CE145" s="60">
        <f t="shared" si="148"/>
        <v>166.97658184507776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1.6</v>
      </c>
      <c r="CT145" s="13">
        <f>IF('Données projet'!$A$140&gt;35,CT144+CS145-DB144,IF(A145&lt;'Données projet'!$A$140,$CQ$205^A145,IF(A145='Données projet'!$A$140,'Données projet'!$B$140,CT144+CS145-DB144)))</f>
        <v>221.20000000000007</v>
      </c>
      <c r="CU145" s="18">
        <f>CT145*VLOOKUP('Données projet'!$B$13,Paramètres!$A$1:$I$89,3,0)*VLOOKUP('Données projet'!$B$13,Paramètres!$A$1:$I$89,5,0)</f>
        <v>213.94464000000005</v>
      </c>
      <c r="CV145" s="14">
        <f t="shared" si="149"/>
        <v>52.796652939972887</v>
      </c>
      <c r="CW145" s="22">
        <f t="shared" si="121"/>
        <v>464.57441853711953</v>
      </c>
      <c r="CX145" s="60">
        <f t="shared" si="122"/>
        <v>757.90775187045278</v>
      </c>
      <c r="CY145" s="60">
        <f ca="1">AVERAGE(OFFSET($CX$3,0,0,'Données projet'!$E$13+1,1))-AVERAGE(OFFSET($H$3,0,0,'Données projet'!$E$13+1,1))</f>
        <v>345.71694170753534</v>
      </c>
      <c r="CZ145" s="60">
        <f t="shared" si="150"/>
        <v>154.08406475869634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262.21103999999951</v>
      </c>
      <c r="P146" s="14">
        <f t="shared" si="141"/>
        <v>63.19344980490574</v>
      </c>
      <c r="Q146" s="22">
        <f t="shared" si="108"/>
        <v>566.74615307687668</v>
      </c>
      <c r="R146" s="60">
        <f t="shared" si="109"/>
        <v>860.07948641020994</v>
      </c>
      <c r="S146" s="60">
        <f ca="1">AVERAGE(OFFSET($R$3,0,0,'Données projet'!$E$9+1,1))-AVERAGE(OFFSET($H$3,0,0,'Données projet'!$E$9+1,1))</f>
        <v>430.21146937947236</v>
      </c>
      <c r="T146" s="60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-1.6227659216383472E-13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370.04285308422544</v>
      </c>
      <c r="AO146" s="60">
        <f t="shared" si="144"/>
        <v>218.53758068502731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-2.8421709430404007E-13</v>
      </c>
      <c r="BE146" s="14">
        <f>BD146*VLOOKUP('Données projet'!$B$11,Paramètres!$A$1:$I$89,3,0)*VLOOKUP('Données projet'!$B$11,Paramètres!$A$1:$I$89,5,0)</f>
        <v>-1.69961822393816E-13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225.82185458224626</v>
      </c>
      <c r="BJ146" s="60">
        <f t="shared" si="146"/>
        <v>363.02009369315243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11.185337853860883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6.1435188860316794E-14</v>
      </c>
      <c r="BS146" s="24">
        <f t="shared" si="117"/>
        <v>11.185337853860945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1.6</v>
      </c>
      <c r="BY146" s="13">
        <f>IF('Données projet'!$A$114&gt;35,BY145+BX146-CG145,IF(A146&lt;'Données projet'!$A$114,$BV$205^A146,IF(A146='Données projet'!$A$114,'Données projet'!$B$114,BY145+BX146-CG145)))</f>
        <v>222.80000000000007</v>
      </c>
      <c r="BZ146" s="14">
        <f>BY146*VLOOKUP('Données projet'!$B$12,Paramètres!$A$1:$I$89,3,0)*VLOOKUP('Données projet'!$B$12,Paramètres!$A$1:$I$89,5,0)</f>
        <v>239.82192000000006</v>
      </c>
      <c r="CA146" s="14">
        <f t="shared" si="147"/>
        <v>58.401214047659259</v>
      </c>
      <c r="CB146" s="22">
        <f t="shared" si="118"/>
        <v>519.40529179967325</v>
      </c>
      <c r="CC146" s="60">
        <f t="shared" si="119"/>
        <v>812.73862513300651</v>
      </c>
      <c r="CD146" s="60">
        <f ca="1">AVERAGE(OFFSET($CC$3,0,0,'Données projet'!$E$12+1,1))-AVERAGE(OFFSET($H$3,0,0,'Données projet'!$E$12+1,1))</f>
        <v>380.16582491288449</v>
      </c>
      <c r="CE146" s="60">
        <f t="shared" si="148"/>
        <v>166.97658184507776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1.6</v>
      </c>
      <c r="CT146" s="13">
        <f>IF('Données projet'!$A$140&gt;35,CT145+CS146-DB145,IF(A146&lt;'Données projet'!$A$140,$CQ$205^A146,IF(A146='Données projet'!$A$140,'Données projet'!$B$140,CT145+CS146-DB145)))</f>
        <v>222.80000000000007</v>
      </c>
      <c r="CU146" s="18">
        <f>CT146*VLOOKUP('Données projet'!$B$13,Paramètres!$A$1:$I$89,3,0)*VLOOKUP('Données projet'!$B$13,Paramètres!$A$1:$I$89,5,0)</f>
        <v>215.4921600000001</v>
      </c>
      <c r="CV146" s="14">
        <f t="shared" si="149"/>
        <v>53.133951574140234</v>
      </c>
      <c r="CW146" s="22">
        <f t="shared" si="121"/>
        <v>467.8571443249611</v>
      </c>
      <c r="CX146" s="60">
        <f t="shared" si="122"/>
        <v>761.19047765829441</v>
      </c>
      <c r="CY146" s="60">
        <f ca="1">AVERAGE(OFFSET($CX$3,0,0,'Données projet'!$E$13+1,1))-AVERAGE(OFFSET($H$3,0,0,'Données projet'!$E$13+1,1))</f>
        <v>345.71694170753534</v>
      </c>
      <c r="CZ146" s="60">
        <f t="shared" si="150"/>
        <v>154.08406475869634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264.56351999999953</v>
      </c>
      <c r="P147" s="14">
        <f t="shared" si="141"/>
        <v>63.694148737013748</v>
      </c>
      <c r="Q147" s="22">
        <f t="shared" si="108"/>
        <v>571.71543971696474</v>
      </c>
      <c r="R147" s="60">
        <f t="shared" si="109"/>
        <v>865.048773050298</v>
      </c>
      <c r="S147" s="60">
        <f ca="1">AVERAGE(OFFSET($R$3,0,0,'Données projet'!$E$9+1,1))-AVERAGE(OFFSET($H$3,0,0,'Données projet'!$E$9+1,1))</f>
        <v>430.21146937947236</v>
      </c>
      <c r="T147" s="60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-1.6227659216383472E-13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370.04285308422544</v>
      </c>
      <c r="AO147" s="60">
        <f t="shared" si="144"/>
        <v>218.53758068502731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-2.8421709430404007E-13</v>
      </c>
      <c r="BE147" s="14">
        <f>BD147*VLOOKUP('Données projet'!$B$11,Paramètres!$A$1:$I$89,3,0)*VLOOKUP('Données projet'!$B$11,Paramètres!$A$1:$I$89,5,0)</f>
        <v>-1.69961822393816E-13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225.82185458224626</v>
      </c>
      <c r="BJ147" s="60">
        <f t="shared" si="146"/>
        <v>363.02009369315243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10.966000200929107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4.3441238646606249E-14</v>
      </c>
      <c r="BS147" s="24">
        <f t="shared" si="117"/>
        <v>10.96600020092915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1.6</v>
      </c>
      <c r="BY147" s="13">
        <f>IF('Données projet'!$A$114&gt;35,BY146+BX147-CG146,IF(A147&lt;'Données projet'!$A$114,$BV$205^A147,IF(A147='Données projet'!$A$114,'Données projet'!$B$114,BY146+BX147-CG146)))</f>
        <v>224.40000000000006</v>
      </c>
      <c r="BZ147" s="14">
        <f>BY147*VLOOKUP('Données projet'!$B$12,Paramètres!$A$1:$I$89,3,0)*VLOOKUP('Données projet'!$B$12,Paramètres!$A$1:$I$89,5,0)</f>
        <v>241.54416000000006</v>
      </c>
      <c r="CA147" s="14">
        <f t="shared" si="147"/>
        <v>58.771639917508466</v>
      </c>
      <c r="CB147" s="22">
        <f t="shared" si="118"/>
        <v>523.05001818966059</v>
      </c>
      <c r="CC147" s="60">
        <f t="shared" si="119"/>
        <v>816.38335152299396</v>
      </c>
      <c r="CD147" s="60">
        <f ca="1">AVERAGE(OFFSET($CC$3,0,0,'Données projet'!$E$12+1,1))-AVERAGE(OFFSET($H$3,0,0,'Données projet'!$E$12+1,1))</f>
        <v>380.16582491288449</v>
      </c>
      <c r="CE147" s="60">
        <f t="shared" si="148"/>
        <v>166.97658184507776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1.6</v>
      </c>
      <c r="CT147" s="13">
        <f>IF('Données projet'!$A$140&gt;35,CT146+CS147-DB146,IF(A147&lt;'Données projet'!$A$140,$CQ$205^A147,IF(A147='Données projet'!$A$140,'Données projet'!$B$140,CT146+CS147-DB146)))</f>
        <v>224.40000000000006</v>
      </c>
      <c r="CU147" s="18">
        <f>CT147*VLOOKUP('Données projet'!$B$13,Paramètres!$A$1:$I$89,3,0)*VLOOKUP('Données projet'!$B$13,Paramètres!$A$1:$I$89,5,0)</f>
        <v>217.03968000000006</v>
      </c>
      <c r="CV147" s="14">
        <f t="shared" si="149"/>
        <v>53.470968373385539</v>
      </c>
      <c r="CW147" s="22">
        <f t="shared" si="121"/>
        <v>471.13937925031331</v>
      </c>
      <c r="CX147" s="60">
        <f t="shared" si="122"/>
        <v>764.47271258364663</v>
      </c>
      <c r="CY147" s="60">
        <f ca="1">AVERAGE(OFFSET($CX$3,0,0,'Données projet'!$E$13+1,1))-AVERAGE(OFFSET($H$3,0,0,'Données projet'!$E$13+1,1))</f>
        <v>345.71694170753534</v>
      </c>
      <c r="CZ147" s="60">
        <f t="shared" si="150"/>
        <v>154.08406475869634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266.9159999999996</v>
      </c>
      <c r="P148" s="14">
        <f t="shared" si="141"/>
        <v>64.194329696332062</v>
      </c>
      <c r="Q148" s="22">
        <f t="shared" si="108"/>
        <v>576.68382422111085</v>
      </c>
      <c r="R148" s="60">
        <f t="shared" si="109"/>
        <v>870.01715755444411</v>
      </c>
      <c r="S148" s="60">
        <f ca="1">AVERAGE(OFFSET($R$3,0,0,'Données projet'!$E$9+1,1))-AVERAGE(OFFSET($H$3,0,0,'Données projet'!$E$9+1,1))</f>
        <v>430.21146937947236</v>
      </c>
      <c r="T148" s="60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-1.6227659216383472E-13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370.04285308422544</v>
      </c>
      <c r="AO148" s="60">
        <f t="shared" si="144"/>
        <v>218.53758068502731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-2.8421709430404007E-13</v>
      </c>
      <c r="BE148" s="14">
        <f>BD148*VLOOKUP('Données projet'!$B$11,Paramètres!$A$1:$I$89,3,0)*VLOOKUP('Données projet'!$B$11,Paramètres!$A$1:$I$89,5,0)</f>
        <v>-1.69961822393816E-13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225.82185458224626</v>
      </c>
      <c r="BJ148" s="60">
        <f t="shared" si="146"/>
        <v>363.02009369315243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10.750963625588566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3.0717594430158397E-14</v>
      </c>
      <c r="BS148" s="24">
        <f t="shared" si="117"/>
        <v>10.750963625588597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>
        <f>VLOOKUP(A148,'Données projet'!$A$113:$I$133,2,0)</f>
        <v>226</v>
      </c>
      <c r="BW148" s="13">
        <f>VLOOKUP(A148,'Données projet'!$A$113:$I$133,9,0)</f>
        <v>1.6</v>
      </c>
      <c r="BX148" s="13">
        <f t="array" ref="BX148">INDEX(BW:BW,MIN(IF(ISNUMBER(BW148:BW344),ROW(BW148:BW344),"")))</f>
        <v>1.6</v>
      </c>
      <c r="BY148" s="13">
        <f>IF('Données projet'!$A$114&gt;35,BY147+BX148-CG147,IF(A148&lt;'Données projet'!$A$114,$BV$205^A148,IF(A148='Données projet'!$A$114,'Données projet'!$B$114,BY147+BX148-CG147)))</f>
        <v>226.00000000000006</v>
      </c>
      <c r="BZ148" s="14">
        <f>BY148*VLOOKUP('Données projet'!$B$12,Paramètres!$A$1:$I$89,3,0)*VLOOKUP('Données projet'!$B$12,Paramètres!$A$1:$I$89,5,0)</f>
        <v>243.26640000000006</v>
      </c>
      <c r="CA148" s="14">
        <f t="shared" si="147"/>
        <v>59.141758478481812</v>
      </c>
      <c r="CB148" s="22">
        <f t="shared" si="118"/>
        <v>526.69420935002256</v>
      </c>
      <c r="CC148" s="60">
        <f t="shared" si="119"/>
        <v>820.02754268335593</v>
      </c>
      <c r="CD148" s="60">
        <f ca="1">AVERAGE(OFFSET($CC$3,0,0,'Données projet'!$E$12+1,1))-AVERAGE(OFFSET($H$3,0,0,'Données projet'!$E$12+1,1))</f>
        <v>380.16582491288449</v>
      </c>
      <c r="CE148" s="60">
        <f t="shared" si="148"/>
        <v>166.97658184507776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>
        <f>VLOOKUP(A148,'Données projet'!$A$139:$I$159,2,0)</f>
        <v>226</v>
      </c>
      <c r="CR148" s="13">
        <f>VLOOKUP(A148,'Données projet'!$A$139:$I$159,9,0)</f>
        <v>1.6</v>
      </c>
      <c r="CS148" s="13">
        <f t="array" ref="CS148">INDEX(CR:CR,MIN(IF(ISNUMBER(CR148:CR344),ROW(CR148:CR344),"")))</f>
        <v>1.6</v>
      </c>
      <c r="CT148" s="13">
        <f>IF('Données projet'!$A$140&gt;35,CT147+CS148-DB147,IF(A148&lt;'Données projet'!$A$140,$CQ$205^A148,IF(A148='Données projet'!$A$140,'Données projet'!$B$140,CT147+CS148-DB147)))</f>
        <v>226.00000000000006</v>
      </c>
      <c r="CU148" s="18">
        <f>CT148*VLOOKUP('Données projet'!$B$13,Paramètres!$A$1:$I$89,3,0)*VLOOKUP('Données projet'!$B$13,Paramètres!$A$1:$I$89,5,0)</f>
        <v>218.58720000000005</v>
      </c>
      <c r="CV148" s="14">
        <f t="shared" si="149"/>
        <v>53.807705580242171</v>
      </c>
      <c r="CW148" s="22">
        <f t="shared" si="121"/>
        <v>474.42112721892181</v>
      </c>
      <c r="CX148" s="60">
        <f t="shared" si="122"/>
        <v>767.75446055225507</v>
      </c>
      <c r="CY148" s="60">
        <f ca="1">AVERAGE(OFFSET($CX$3,0,0,'Données projet'!$E$13+1,1))-AVERAGE(OFFSET($H$3,0,0,'Données projet'!$E$13+1,1))</f>
        <v>345.71694170753534</v>
      </c>
      <c r="CZ148" s="60">
        <f t="shared" si="150"/>
        <v>154.08406475869634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projet'!$B$9,Paramètres!$A$1:$I$89,3,0)*VLOOKUP('Données projet'!$B$9,Paramètres!$A$1:$I$89,5,0)</f>
        <v>268.90655999999956</v>
      </c>
      <c r="P149" s="14">
        <f t="shared" si="141"/>
        <v>64.617158945843656</v>
      </c>
      <c r="Q149" s="22">
        <f t="shared" si="108"/>
        <v>580.88714383067679</v>
      </c>
      <c r="R149" s="60">
        <f t="shared" si="109"/>
        <v>874.22047716401016</v>
      </c>
      <c r="S149" s="60">
        <f ca="1">AVERAGE(OFFSET($R$3,0,0,'Données projet'!$E$9+1,1))-AVERAGE(OFFSET($H$3,0,0,'Données projet'!$E$9+1,1))</f>
        <v>430.21146937947236</v>
      </c>
      <c r="T149" s="60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-1.6227659216383472E-13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370.04285308422544</v>
      </c>
      <c r="AO149" s="60">
        <f t="shared" si="144"/>
        <v>218.53758068502731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-2.8421709430404007E-13</v>
      </c>
      <c r="BE149" s="14">
        <f>BD149*VLOOKUP('Données projet'!$B$11,Paramètres!$A$1:$I$89,3,0)*VLOOKUP('Données projet'!$B$11,Paramètres!$A$1:$I$89,5,0)</f>
        <v>-1.69961822393816E-13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225.82185458224626</v>
      </c>
      <c r="BJ149" s="60">
        <f t="shared" si="146"/>
        <v>363.02009369315243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10.540143786331093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2.1720619323303125E-14</v>
      </c>
      <c r="BS149" s="24">
        <f t="shared" si="117"/>
        <v>10.540143786331114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1.2</v>
      </c>
      <c r="BY149" s="13">
        <f>IF('Données projet'!$A$114&gt;35,BY148+BX149-CG148,IF(A149&lt;'Données projet'!$A$114,$BV$205^A149,IF(A149='Données projet'!$A$114,'Données projet'!$B$114,BY148+BX149-CG148)))</f>
        <v>227.20000000000005</v>
      </c>
      <c r="BZ149" s="14">
        <f>BY149*VLOOKUP('Données projet'!$B$12,Paramètres!$A$1:$I$89,3,0)*VLOOKUP('Données projet'!$B$12,Paramètres!$A$1:$I$89,5,0)</f>
        <v>244.55808000000005</v>
      </c>
      <c r="CA149" s="14">
        <f t="shared" si="147"/>
        <v>59.419147189674213</v>
      </c>
      <c r="CB149" s="22">
        <f t="shared" si="118"/>
        <v>529.42700402201592</v>
      </c>
      <c r="CC149" s="60">
        <f t="shared" si="119"/>
        <v>822.76033735534929</v>
      </c>
      <c r="CD149" s="60">
        <f ca="1">AVERAGE(OFFSET($CC$3,0,0,'Données projet'!$E$12+1,1))-AVERAGE(OFFSET($H$3,0,0,'Données projet'!$E$12+1,1))</f>
        <v>380.16582491288449</v>
      </c>
      <c r="CE149" s="60">
        <f t="shared" si="148"/>
        <v>166.97658184507776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1.2</v>
      </c>
      <c r="CT149" s="13">
        <f>IF('Données projet'!$A$140&gt;35,CT148+CS149-DB148,IF(A149&lt;'Données projet'!$A$140,$CQ$205^A149,IF(A149='Données projet'!$A$140,'Données projet'!$B$140,CT148+CS149-DB148)))</f>
        <v>227.20000000000005</v>
      </c>
      <c r="CU149" s="18">
        <f>CT149*VLOOKUP('Données projet'!$B$13,Paramètres!$A$1:$I$89,3,0)*VLOOKUP('Données projet'!$B$13,Paramètres!$A$1:$I$89,5,0)</f>
        <v>219.74784000000005</v>
      </c>
      <c r="CV149" s="14">
        <f t="shared" si="149"/>
        <v>54.060076332940611</v>
      </c>
      <c r="CW149" s="22">
        <f t="shared" si="121"/>
        <v>476.88212094653824</v>
      </c>
      <c r="CX149" s="60">
        <f t="shared" si="122"/>
        <v>770.21545427987155</v>
      </c>
      <c r="CY149" s="60">
        <f ca="1">AVERAGE(OFFSET($CX$3,0,0,'Données projet'!$E$13+1,1))-AVERAGE(OFFSET($H$3,0,0,'Données projet'!$E$13+1,1))</f>
        <v>345.71694170753534</v>
      </c>
      <c r="CZ149" s="60">
        <f t="shared" si="150"/>
        <v>154.08406475869634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projet'!$B$9,Paramètres!$A$1:$I$89,3,0)*VLOOKUP('Données projet'!$B$9,Paramètres!$A$1:$I$89,5,0)</f>
        <v>270.89711999999952</v>
      </c>
      <c r="P150" s="14">
        <f t="shared" si="141"/>
        <v>65.039624021315362</v>
      </c>
      <c r="Q150" s="22">
        <f t="shared" si="108"/>
        <v>585.08982917045671</v>
      </c>
      <c r="R150" s="60">
        <f t="shared" si="109"/>
        <v>878.42316250379008</v>
      </c>
      <c r="S150" s="60">
        <f ca="1">AVERAGE(OFFSET($R$3,0,0,'Données projet'!$E$9+1,1))-AVERAGE(OFFSET($H$3,0,0,'Données projet'!$E$9+1,1))</f>
        <v>430.21146937947236</v>
      </c>
      <c r="T150" s="60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-1.6227659216383472E-13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370.04285308422544</v>
      </c>
      <c r="AO150" s="60">
        <f t="shared" si="144"/>
        <v>218.53758068502731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-2.8421709430404007E-13</v>
      </c>
      <c r="BE150" s="14">
        <f>BD150*VLOOKUP('Données projet'!$B$11,Paramètres!$A$1:$I$89,3,0)*VLOOKUP('Données projet'!$B$11,Paramètres!$A$1:$I$89,5,0)</f>
        <v>-1.69961822393816E-13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225.82185458224626</v>
      </c>
      <c r="BJ150" s="60">
        <f t="shared" si="146"/>
        <v>363.02009369315243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10.333457995534054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1.5358797215079198E-14</v>
      </c>
      <c r="BS150" s="24">
        <f t="shared" si="117"/>
        <v>10.33345799553407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1.2</v>
      </c>
      <c r="BY150" s="13">
        <f>IF('Données projet'!$A$114&gt;35,BY149+BX150-CG149,IF(A150&lt;'Données projet'!$A$114,$BV$205^A150,IF(A150='Données projet'!$A$114,'Données projet'!$B$114,BY149+BX150-CG149)))</f>
        <v>228.40000000000003</v>
      </c>
      <c r="BZ150" s="14">
        <f>BY150*VLOOKUP('Données projet'!$B$12,Paramètres!$A$1:$I$89,3,0)*VLOOKUP('Données projet'!$B$12,Paramètres!$A$1:$I$89,5,0)</f>
        <v>245.84976</v>
      </c>
      <c r="CA150" s="14">
        <f t="shared" si="147"/>
        <v>59.696365416984804</v>
      </c>
      <c r="CB150" s="22">
        <f t="shared" si="118"/>
        <v>532.15950176791523</v>
      </c>
      <c r="CC150" s="60">
        <f t="shared" si="119"/>
        <v>825.4928351012486</v>
      </c>
      <c r="CD150" s="60">
        <f ca="1">AVERAGE(OFFSET($CC$3,0,0,'Données projet'!$E$12+1,1))-AVERAGE(OFFSET($H$3,0,0,'Données projet'!$E$12+1,1))</f>
        <v>380.16582491288449</v>
      </c>
      <c r="CE150" s="60">
        <f t="shared" si="148"/>
        <v>166.97658184507776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1.2</v>
      </c>
      <c r="CT150" s="13">
        <f>IF('Données projet'!$A$140&gt;35,CT149+CS150-DB149,IF(A150&lt;'Données projet'!$A$140,$CQ$205^A150,IF(A150='Données projet'!$A$140,'Données projet'!$B$140,CT149+CS150-DB149)))</f>
        <v>228.40000000000003</v>
      </c>
      <c r="CU150" s="18">
        <f>CT150*VLOOKUP('Données projet'!$B$13,Paramètres!$A$1:$I$89,3,0)*VLOOKUP('Données projet'!$B$13,Paramètres!$A$1:$I$89,5,0)</f>
        <v>220.90848000000005</v>
      </c>
      <c r="CV150" s="14">
        <f t="shared" si="149"/>
        <v>54.312291977864867</v>
      </c>
      <c r="CW150" s="22">
        <f t="shared" si="121"/>
        <v>479.34284452811465</v>
      </c>
      <c r="CX150" s="60">
        <f t="shared" si="122"/>
        <v>772.67617786144797</v>
      </c>
      <c r="CY150" s="60">
        <f ca="1">AVERAGE(OFFSET($CX$3,0,0,'Données projet'!$E$13+1,1))-AVERAGE(OFFSET($H$3,0,0,'Données projet'!$E$13+1,1))</f>
        <v>345.71694170753534</v>
      </c>
      <c r="CZ150" s="60">
        <f t="shared" si="150"/>
        <v>154.08406475869634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projet'!$B$9,Paramètres!$A$1:$I$89,3,0)*VLOOKUP('Données projet'!$B$9,Paramètres!$A$1:$I$89,5,0)</f>
        <v>272.88767999999953</v>
      </c>
      <c r="P151" s="14">
        <f t="shared" si="141"/>
        <v>65.461727908967305</v>
      </c>
      <c r="Q151" s="22">
        <f t="shared" si="108"/>
        <v>589.29188544145063</v>
      </c>
      <c r="R151" s="60">
        <f t="shared" si="109"/>
        <v>882.62521877478389</v>
      </c>
      <c r="S151" s="60">
        <f ca="1">AVERAGE(OFFSET($R$3,0,0,'Données projet'!$E$9+1,1))-AVERAGE(OFFSET($H$3,0,0,'Données projet'!$E$9+1,1))</f>
        <v>430.21146937947236</v>
      </c>
      <c r="T151" s="60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-1.6227659216383472E-13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370.04285308422544</v>
      </c>
      <c r="AO151" s="60">
        <f t="shared" si="144"/>
        <v>218.53758068502731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-2.8421709430404007E-13</v>
      </c>
      <c r="BE151" s="14">
        <f>BD151*VLOOKUP('Données projet'!$B$11,Paramètres!$A$1:$I$89,3,0)*VLOOKUP('Données projet'!$B$11,Paramètres!$A$1:$I$89,5,0)</f>
        <v>-1.69961822393816E-13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225.82185458224626</v>
      </c>
      <c r="BJ151" s="60">
        <f t="shared" si="146"/>
        <v>363.02009369315243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10.130825187028661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1.0860309661651562E-14</v>
      </c>
      <c r="BS151" s="24">
        <f t="shared" si="117"/>
        <v>10.130825187028671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1.2</v>
      </c>
      <c r="BY151" s="13">
        <f>IF('Données projet'!$A$114&gt;35,BY150+BX151-CG150,IF(A151&lt;'Données projet'!$A$114,$BV$205^A151,IF(A151='Données projet'!$A$114,'Données projet'!$B$114,BY150+BX151-CG150)))</f>
        <v>229.60000000000002</v>
      </c>
      <c r="BZ151" s="14">
        <f>BY151*VLOOKUP('Données projet'!$B$12,Paramètres!$A$1:$I$89,3,0)*VLOOKUP('Données projet'!$B$12,Paramètres!$A$1:$I$89,5,0)</f>
        <v>247.14144000000002</v>
      </c>
      <c r="CA151" s="14">
        <f t="shared" si="147"/>
        <v>59.973414160090194</v>
      </c>
      <c r="CB151" s="22">
        <f t="shared" si="118"/>
        <v>534.89170432882372</v>
      </c>
      <c r="CC151" s="60">
        <f t="shared" si="119"/>
        <v>828.22503766215709</v>
      </c>
      <c r="CD151" s="60">
        <f ca="1">AVERAGE(OFFSET($CC$3,0,0,'Données projet'!$E$12+1,1))-AVERAGE(OFFSET($H$3,0,0,'Données projet'!$E$12+1,1))</f>
        <v>380.16582491288449</v>
      </c>
      <c r="CE151" s="60">
        <f t="shared" si="148"/>
        <v>166.97658184507776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1.2</v>
      </c>
      <c r="CT151" s="13">
        <f>IF('Données projet'!$A$140&gt;35,CT150+CS151-DB150,IF(A151&lt;'Données projet'!$A$140,$CQ$205^A151,IF(A151='Données projet'!$A$140,'Données projet'!$B$140,CT150+CS151-DB150)))</f>
        <v>229.60000000000002</v>
      </c>
      <c r="CU151" s="18">
        <f>CT151*VLOOKUP('Données projet'!$B$13,Paramètres!$A$1:$I$89,3,0)*VLOOKUP('Données projet'!$B$13,Paramètres!$A$1:$I$89,5,0)</f>
        <v>222.06912000000003</v>
      </c>
      <c r="CV151" s="14">
        <f t="shared" si="149"/>
        <v>54.564353424529749</v>
      </c>
      <c r="CW151" s="22">
        <f t="shared" si="121"/>
        <v>481.80329954772265</v>
      </c>
      <c r="CX151" s="60">
        <f t="shared" si="122"/>
        <v>775.1366328810559</v>
      </c>
      <c r="CY151" s="60">
        <f ca="1">AVERAGE(OFFSET($CX$3,0,0,'Données projet'!$E$13+1,1))-AVERAGE(OFFSET($H$3,0,0,'Données projet'!$E$13+1,1))</f>
        <v>345.71694170753534</v>
      </c>
      <c r="CZ151" s="60">
        <f t="shared" si="150"/>
        <v>154.08406475869634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projet'!$B$9,Paramètres!$A$1:$I$89,3,0)*VLOOKUP('Données projet'!$B$9,Paramètres!$A$1:$I$89,5,0)</f>
        <v>274.87823999999955</v>
      </c>
      <c r="P152" s="14">
        <f t="shared" si="141"/>
        <v>65.883473548936905</v>
      </c>
      <c r="Q152" s="22">
        <f t="shared" si="108"/>
        <v>593.4933177643976</v>
      </c>
      <c r="R152" s="60">
        <f t="shared" si="109"/>
        <v>886.82665109773097</v>
      </c>
      <c r="S152" s="60">
        <f ca="1">AVERAGE(OFFSET($R$3,0,0,'Données projet'!$E$9+1,1))-AVERAGE(OFFSET($H$3,0,0,'Données projet'!$E$9+1,1))</f>
        <v>430.21146937947236</v>
      </c>
      <c r="T152" s="60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-1.6227659216383472E-13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370.04285308422544</v>
      </c>
      <c r="AO152" s="60">
        <f t="shared" si="144"/>
        <v>218.53758068502731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-2.8421709430404007E-13</v>
      </c>
      <c r="BE152" s="14">
        <f>BD152*VLOOKUP('Données projet'!$B$11,Paramètres!$A$1:$I$89,3,0)*VLOOKUP('Données projet'!$B$11,Paramètres!$A$1:$I$89,5,0)</f>
        <v>-1.69961822393816E-13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225.82185458224626</v>
      </c>
      <c r="BJ152" s="60">
        <f t="shared" si="146"/>
        <v>363.02009369315243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9.9321658843042488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7.6793986075395992E-15</v>
      </c>
      <c r="BS152" s="24">
        <f t="shared" si="117"/>
        <v>9.932165884304256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1.2</v>
      </c>
      <c r="BY152" s="13">
        <f>IF('Données projet'!$A$114&gt;35,BY151+BX152-CG151,IF(A152&lt;'Données projet'!$A$114,$BV$205^A152,IF(A152='Données projet'!$A$114,'Données projet'!$B$114,BY151+BX152-CG151)))</f>
        <v>230.8</v>
      </c>
      <c r="BZ152" s="14">
        <f>BY152*VLOOKUP('Données projet'!$B$12,Paramètres!$A$1:$I$89,3,0)*VLOOKUP('Données projet'!$B$12,Paramètres!$A$1:$I$89,5,0)</f>
        <v>248.43312000000003</v>
      </c>
      <c r="CA152" s="14">
        <f t="shared" si="147"/>
        <v>60.250294407612479</v>
      </c>
      <c r="CB152" s="22">
        <f t="shared" si="118"/>
        <v>537.62361342659187</v>
      </c>
      <c r="CC152" s="60">
        <f t="shared" si="119"/>
        <v>830.95694675992513</v>
      </c>
      <c r="CD152" s="60">
        <f ca="1">AVERAGE(OFFSET($CC$3,0,0,'Données projet'!$E$12+1,1))-AVERAGE(OFFSET($H$3,0,0,'Données projet'!$E$12+1,1))</f>
        <v>380.16582491288449</v>
      </c>
      <c r="CE152" s="60">
        <f t="shared" si="148"/>
        <v>166.97658184507776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1.2</v>
      </c>
      <c r="CT152" s="13">
        <f>IF('Données projet'!$A$140&gt;35,CT151+CS152-DB151,IF(A152&lt;'Données projet'!$A$140,$CQ$205^A152,IF(A152='Données projet'!$A$140,'Données projet'!$B$140,CT151+CS152-DB151)))</f>
        <v>230.8</v>
      </c>
      <c r="CU152" s="18">
        <f>CT152*VLOOKUP('Données projet'!$B$13,Paramètres!$A$1:$I$89,3,0)*VLOOKUP('Données projet'!$B$13,Paramètres!$A$1:$I$89,5,0)</f>
        <v>223.22976000000003</v>
      </c>
      <c r="CV152" s="14">
        <f t="shared" si="149"/>
        <v>54.816261572392548</v>
      </c>
      <c r="CW152" s="22">
        <f t="shared" si="121"/>
        <v>484.26348757191704</v>
      </c>
      <c r="CX152" s="60">
        <f t="shared" si="122"/>
        <v>777.5968209052503</v>
      </c>
      <c r="CY152" s="60">
        <f ca="1">AVERAGE(OFFSET($CX$3,0,0,'Données projet'!$E$13+1,1))-AVERAGE(OFFSET($H$3,0,0,'Données projet'!$E$13+1,1))</f>
        <v>345.71694170753534</v>
      </c>
      <c r="CZ152" s="60">
        <f t="shared" si="150"/>
        <v>154.08406475869634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projet'!$B$9,Paramètres!$A$1:$I$89,3,0)*VLOOKUP('Données projet'!$B$9,Paramètres!$A$1:$I$89,5,0)</f>
        <v>276.86879999999951</v>
      </c>
      <c r="P153" s="14">
        <f t="shared" si="141"/>
        <v>66.304863836318546</v>
      </c>
      <c r="Q153" s="22">
        <f t="shared" si="108"/>
        <v>597.6941311815873</v>
      </c>
      <c r="R153" s="60">
        <f t="shared" si="109"/>
        <v>891.02746451492067</v>
      </c>
      <c r="S153" s="60">
        <f ca="1">AVERAGE(OFFSET($R$3,0,0,'Données projet'!$E$9+1,1))-AVERAGE(OFFSET($H$3,0,0,'Données projet'!$E$9+1,1))</f>
        <v>430.21146937947236</v>
      </c>
      <c r="T153" s="60">
        <f t="shared" si="142"/>
        <v>231.36959598460686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-1.6227659216383472E-13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370.04285308422544</v>
      </c>
      <c r="AO153" s="60">
        <f t="shared" si="144"/>
        <v>218.53758068502731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-2.8421709430404007E-13</v>
      </c>
      <c r="BE153" s="14">
        <f>BD153*VLOOKUP('Données projet'!$B$11,Paramètres!$A$1:$I$89,3,0)*VLOOKUP('Données projet'!$B$11,Paramètres!$A$1:$I$89,5,0)</f>
        <v>-1.69961822393816E-13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225.82185458224626</v>
      </c>
      <c r="BJ153" s="60">
        <f t="shared" si="146"/>
        <v>363.02009369315243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9.7374021693360522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5.4301548308257812E-15</v>
      </c>
      <c r="BS153" s="24">
        <f t="shared" si="117"/>
        <v>9.7374021693360575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232</v>
      </c>
      <c r="BW153" s="13">
        <f>VLOOKUP(A153,'Données projet'!$A$113:$I$133,9,0)</f>
        <v>1.2</v>
      </c>
      <c r="BX153" s="13">
        <f t="array" ref="BX153">INDEX(BW:BW,MIN(IF(ISNUMBER(BW153:BW349),ROW(BW153:BW349),"")))</f>
        <v>1.2</v>
      </c>
      <c r="BY153" s="13">
        <f>IF('Données projet'!$A$114&gt;35,BY152+BX153-CG152,IF(A153&lt;'Données projet'!$A$114,$BV$205^A153,IF(A153='Données projet'!$A$114,'Données projet'!$B$114,BY152+BX153-CG152)))</f>
        <v>232</v>
      </c>
      <c r="BZ153" s="14">
        <f>BY153*VLOOKUP('Données projet'!$B$12,Paramètres!$A$1:$I$89,3,0)*VLOOKUP('Données projet'!$B$12,Paramètres!$A$1:$I$89,5,0)</f>
        <v>249.72479999999999</v>
      </c>
      <c r="CA153" s="14">
        <f t="shared" si="147"/>
        <v>60.527007137298142</v>
      </c>
      <c r="CB153" s="22">
        <f t="shared" si="118"/>
        <v>540.35523076412755</v>
      </c>
      <c r="CC153" s="60">
        <f t="shared" si="119"/>
        <v>833.68856409746081</v>
      </c>
      <c r="CD153" s="60">
        <f ca="1">AVERAGE(OFFSET($CC$3,0,0,'Données projet'!$E$12+1,1))-AVERAGE(OFFSET($H$3,0,0,'Données projet'!$E$12+1,1))</f>
        <v>380.16582491288449</v>
      </c>
      <c r="CE153" s="60">
        <f t="shared" si="148"/>
        <v>166.97658184507776</v>
      </c>
      <c r="CF153" s="16">
        <f>IF(ISNA(VLOOKUP(A153,'Données projet'!$A$113:$I$133,3,0)),0,VLOOKUP(A153,'Données projet'!$A$113:$I$133,3,0))</f>
        <v>12</v>
      </c>
      <c r="CG153" s="16">
        <f>IF(ISNA(VLOOKUP(A153,'Données projet'!$A$113:$I$133,4,0)),0,VLOOKUP(A153,'Données projet'!$A$113:$I$133,4,0))</f>
        <v>232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232</v>
      </c>
      <c r="CR153" s="13">
        <f>VLOOKUP(A153,'Données projet'!$A$139:$I$159,9,0)</f>
        <v>1.2</v>
      </c>
      <c r="CS153" s="13">
        <f t="array" ref="CS153">INDEX(CR:CR,MIN(IF(ISNUMBER(CR153:CR349),ROW(CR153:CR349),"")))</f>
        <v>1.2</v>
      </c>
      <c r="CT153" s="13">
        <f>IF('Données projet'!$A$140&gt;35,CT152+CS153-DB152,IF(A153&lt;'Données projet'!$A$140,$CQ$205^A153,IF(A153='Données projet'!$A$140,'Données projet'!$B$140,CT152+CS153-DB152)))</f>
        <v>232</v>
      </c>
      <c r="CU153" s="18">
        <f>CT153*VLOOKUP('Données projet'!$B$13,Paramètres!$A$1:$I$89,3,0)*VLOOKUP('Données projet'!$B$13,Paramètres!$A$1:$I$89,5,0)</f>
        <v>224.3904</v>
      </c>
      <c r="CV153" s="14">
        <f t="shared" si="149"/>
        <v>55.068017311015858</v>
      </c>
      <c r="CW153" s="22">
        <f t="shared" si="121"/>
        <v>486.72341015001922</v>
      </c>
      <c r="CX153" s="60">
        <f t="shared" si="122"/>
        <v>780.05674348335253</v>
      </c>
      <c r="CY153" s="60">
        <f ca="1">AVERAGE(OFFSET($CX$3,0,0,'Données projet'!$E$13+1,1))-AVERAGE(OFFSET($H$3,0,0,'Données projet'!$E$13+1,1))</f>
        <v>345.71694170753534</v>
      </c>
      <c r="CZ153" s="60">
        <f t="shared" si="150"/>
        <v>154.08406475869634</v>
      </c>
      <c r="DA153" s="16">
        <f>IF(ISNA(VLOOKUP(A153,'Données projet'!$A$139:$I$159,3,0)),0,VLOOKUP(A153,'Données projet'!$A$139:$I$159,3,0))</f>
        <v>12</v>
      </c>
      <c r="DB153" s="16">
        <f>IF(ISNA(VLOOKUP(A153,'Données projet'!$A$139:$I$159,4,0)),0,VLOOKUP(A153,'Données projet'!$A$139:$I$159,4,0))</f>
        <v>232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-4.6288732846733184E-13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430.21146937947236</v>
      </c>
      <c r="T154" s="60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-1.6227659216383472E-13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370.04285308422544</v>
      </c>
      <c r="AO154" s="60">
        <f t="shared" si="144"/>
        <v>218.53758068502731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-2.8421709430404007E-13</v>
      </c>
      <c r="BE154" s="14">
        <f>BD154*VLOOKUP('Données projet'!$B$11,Paramètres!$A$1:$I$89,3,0)*VLOOKUP('Données projet'!$B$11,Paramètres!$A$1:$I$89,5,0)</f>
        <v>-1.69961822393816E-13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225.82185458224626</v>
      </c>
      <c r="BJ154" s="60">
        <f t="shared" si="146"/>
        <v>363.02009369315243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9.5464576520242446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3.8396993037697996E-15</v>
      </c>
      <c r="BS154" s="24">
        <f t="shared" ref="BS154:BS203" si="169">SUM(BP154:BR154)</f>
        <v>9.5464576520242481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380.16582491288449</v>
      </c>
      <c r="CE154" s="60">
        <f t="shared" si="148"/>
        <v>166.97658184507776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345.71694170753534</v>
      </c>
      <c r="CZ154" s="60">
        <f t="shared" si="150"/>
        <v>154.08406475869634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-4.6288732846733184E-13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430.21146937947236</v>
      </c>
      <c r="T155" s="60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-1.6227659216383472E-13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370.04285308422544</v>
      </c>
      <c r="AO155" s="60">
        <f t="shared" si="144"/>
        <v>218.53758068502731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-2.8421709430404007E-13</v>
      </c>
      <c r="BE155" s="14">
        <f>BD155*VLOOKUP('Données projet'!$B$11,Paramètres!$A$1:$I$89,3,0)*VLOOKUP('Données projet'!$B$11,Paramètres!$A$1:$I$89,5,0)</f>
        <v>-1.69961822393816E-13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225.82185458224626</v>
      </c>
      <c r="BJ155" s="60">
        <f t="shared" si="146"/>
        <v>363.02009369315243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9.3592574402322661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2.7150774154128906E-15</v>
      </c>
      <c r="BS155" s="24">
        <f t="shared" si="169"/>
        <v>9.3592574402322697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380.16582491288449</v>
      </c>
      <c r="CE155" s="60">
        <f t="shared" si="148"/>
        <v>166.97658184507776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345.71694170753534</v>
      </c>
      <c r="CZ155" s="60">
        <f t="shared" si="150"/>
        <v>154.08406475869634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-4.6288732846733184E-13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430.21146937947236</v>
      </c>
      <c r="T156" s="60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-1.6227659216383472E-13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370.04285308422544</v>
      </c>
      <c r="AO156" s="60">
        <f t="shared" si="144"/>
        <v>218.53758068502731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-2.8421709430404007E-13</v>
      </c>
      <c r="BE156" s="14">
        <f>BD156*VLOOKUP('Données projet'!$B$11,Paramètres!$A$1:$I$89,3,0)*VLOOKUP('Données projet'!$B$11,Paramètres!$A$1:$I$89,5,0)</f>
        <v>-1.69961822393816E-13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225.82185458224626</v>
      </c>
      <c r="BJ156" s="60">
        <f t="shared" si="146"/>
        <v>363.02009369315243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9.175728110412674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1.9198496518848998E-15</v>
      </c>
      <c r="BS156" s="24">
        <f t="shared" si="169"/>
        <v>9.1757281104126758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380.16582491288449</v>
      </c>
      <c r="CE156" s="60">
        <f t="shared" si="148"/>
        <v>166.97658184507776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345.71694170753534</v>
      </c>
      <c r="CZ156" s="60">
        <f t="shared" si="150"/>
        <v>154.08406475869634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-4.6288732846733184E-13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430.21146937947236</v>
      </c>
      <c r="T157" s="60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-1.6227659216383472E-13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370.04285308422544</v>
      </c>
      <c r="AO157" s="60">
        <f t="shared" si="144"/>
        <v>218.53758068502731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-2.8421709430404007E-13</v>
      </c>
      <c r="BE157" s="14">
        <f>BD157*VLOOKUP('Données projet'!$B$11,Paramètres!$A$1:$I$89,3,0)*VLOOKUP('Données projet'!$B$11,Paramètres!$A$1:$I$89,5,0)</f>
        <v>-1.69961822393816E-13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225.82185458224626</v>
      </c>
      <c r="BJ157" s="60">
        <f t="shared" si="146"/>
        <v>363.02009369315243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8.9957976788090068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1.3575387077064453E-15</v>
      </c>
      <c r="BS157" s="24">
        <f t="shared" si="169"/>
        <v>8.9957976788090086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380.16582491288449</v>
      </c>
      <c r="CE157" s="60">
        <f t="shared" si="148"/>
        <v>166.97658184507776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345.71694170753534</v>
      </c>
      <c r="CZ157" s="60">
        <f t="shared" si="150"/>
        <v>154.08406475869634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-4.6288732846733184E-13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430.21146937947236</v>
      </c>
      <c r="T158" s="60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-1.6227659216383472E-13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370.04285308422544</v>
      </c>
      <c r="AO158" s="60">
        <f t="shared" si="144"/>
        <v>218.53758068502731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-2.8421709430404007E-13</v>
      </c>
      <c r="BE158" s="14">
        <f>BD158*VLOOKUP('Données projet'!$B$11,Paramètres!$A$1:$I$89,3,0)*VLOOKUP('Données projet'!$B$11,Paramètres!$A$1:$I$89,5,0)</f>
        <v>-1.69961822393816E-13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225.82185458224626</v>
      </c>
      <c r="BJ158" s="60">
        <f t="shared" si="146"/>
        <v>363.02009369315243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8.8193955732223603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9.599248259424499E-16</v>
      </c>
      <c r="BS158" s="24">
        <f t="shared" si="169"/>
        <v>8.8193955732223621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380.16582491288449</v>
      </c>
      <c r="CE158" s="60">
        <f t="shared" si="148"/>
        <v>166.97658184507776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345.71694170753534</v>
      </c>
      <c r="CZ158" s="60">
        <f t="shared" si="150"/>
        <v>154.08406475869634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-4.6288732846733184E-13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430.21146937947236</v>
      </c>
      <c r="T159" s="60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-1.6227659216383472E-13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370.04285308422544</v>
      </c>
      <c r="AO159" s="60">
        <f t="shared" si="144"/>
        <v>218.53758068502731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-2.8421709430404007E-13</v>
      </c>
      <c r="BE159" s="14">
        <f>BD159*VLOOKUP('Données projet'!$B$11,Paramètres!$A$1:$I$89,3,0)*VLOOKUP('Données projet'!$B$11,Paramètres!$A$1:$I$89,5,0)</f>
        <v>-1.69961822393816E-13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225.82185458224626</v>
      </c>
      <c r="BJ159" s="60">
        <f t="shared" si="146"/>
        <v>363.02009369315243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8.6464526053316071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6.7876935385322265E-16</v>
      </c>
      <c r="BS159" s="24">
        <f t="shared" si="169"/>
        <v>8.6464526053316071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380.16582491288449</v>
      </c>
      <c r="CE159" s="60">
        <f t="shared" si="148"/>
        <v>166.97658184507776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345.71694170753534</v>
      </c>
      <c r="CZ159" s="60">
        <f t="shared" si="150"/>
        <v>154.08406475869634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-4.6288732846733184E-13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430.21146937947236</v>
      </c>
      <c r="T160" s="60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-1.6227659216383472E-13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370.04285308422544</v>
      </c>
      <c r="AO160" s="60">
        <f t="shared" si="144"/>
        <v>218.53758068502731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-2.8421709430404007E-13</v>
      </c>
      <c r="BE160" s="14">
        <f>BD160*VLOOKUP('Données projet'!$B$11,Paramètres!$A$1:$I$89,3,0)*VLOOKUP('Données projet'!$B$11,Paramètres!$A$1:$I$89,5,0)</f>
        <v>-1.69961822393816E-13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225.82185458224626</v>
      </c>
      <c r="BJ160" s="60">
        <f t="shared" si="146"/>
        <v>363.02009369315243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8.476900943556398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4.7996241297122495E-16</v>
      </c>
      <c r="BS160" s="24">
        <f t="shared" si="169"/>
        <v>8.476900943556398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380.16582491288449</v>
      </c>
      <c r="CE160" s="60">
        <f t="shared" si="148"/>
        <v>166.97658184507776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345.71694170753534</v>
      </c>
      <c r="CZ160" s="60">
        <f t="shared" si="150"/>
        <v>154.08406475869634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-4.6288732846733184E-13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430.21146937947236</v>
      </c>
      <c r="T161" s="60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-1.6227659216383472E-13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370.04285308422544</v>
      </c>
      <c r="AO161" s="60">
        <f t="shared" si="144"/>
        <v>218.53758068502731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-2.8421709430404007E-13</v>
      </c>
      <c r="BE161" s="14">
        <f>BD161*VLOOKUP('Données projet'!$B$11,Paramètres!$A$1:$I$89,3,0)*VLOOKUP('Données projet'!$B$11,Paramètres!$A$1:$I$89,5,0)</f>
        <v>-1.69961822393816E-13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225.82185458224626</v>
      </c>
      <c r="BJ161" s="60">
        <f t="shared" si="146"/>
        <v>363.02009369315243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8.3106740864522983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3.3938467692661132E-16</v>
      </c>
      <c r="BS161" s="24">
        <f t="shared" si="169"/>
        <v>8.3106740864522983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380.16582491288449</v>
      </c>
      <c r="CE161" s="60">
        <f t="shared" si="148"/>
        <v>166.97658184507776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345.71694170753534</v>
      </c>
      <c r="CZ161" s="60">
        <f t="shared" si="150"/>
        <v>154.08406475869634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-4.6288732846733184E-13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430.21146937947236</v>
      </c>
      <c r="T162" s="60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-1.6227659216383472E-13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370.04285308422544</v>
      </c>
      <c r="AO162" s="60">
        <f t="shared" si="144"/>
        <v>218.53758068502731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-2.8421709430404007E-13</v>
      </c>
      <c r="BE162" s="14">
        <f>BD162*VLOOKUP('Données projet'!$B$11,Paramètres!$A$1:$I$89,3,0)*VLOOKUP('Données projet'!$B$11,Paramètres!$A$1:$I$89,5,0)</f>
        <v>-1.69961822393816E-13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225.82185458224626</v>
      </c>
      <c r="BJ162" s="60">
        <f t="shared" si="146"/>
        <v>363.02009369315243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8.1477068366276377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2.3998120648561248E-16</v>
      </c>
      <c r="BS162" s="24">
        <f t="shared" si="169"/>
        <v>8.1477068366276377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380.16582491288449</v>
      </c>
      <c r="CE162" s="60">
        <f t="shared" si="148"/>
        <v>166.97658184507776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345.71694170753534</v>
      </c>
      <c r="CZ162" s="60">
        <f t="shared" si="150"/>
        <v>154.08406475869634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-4.6288732846733184E-13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430.21146937947236</v>
      </c>
      <c r="T163" s="60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-1.6227659216383472E-13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370.04285308422544</v>
      </c>
      <c r="AO163" s="60">
        <f t="shared" si="144"/>
        <v>218.53758068502731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-2.8421709430404007E-13</v>
      </c>
      <c r="BE163" s="14">
        <f>BD163*VLOOKUP('Données projet'!$B$11,Paramètres!$A$1:$I$89,3,0)*VLOOKUP('Données projet'!$B$11,Paramètres!$A$1:$I$89,5,0)</f>
        <v>-1.69961822393816E-13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225.82185458224626</v>
      </c>
      <c r="BJ163" s="60">
        <f t="shared" si="146"/>
        <v>363.02009369315243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7.9879352751718322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1.6969233846330566E-16</v>
      </c>
      <c r="BS163" s="24">
        <f t="shared" si="169"/>
        <v>7.9879352751718322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380.16582491288449</v>
      </c>
      <c r="CE163" s="60">
        <f t="shared" si="148"/>
        <v>166.97658184507776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345.71694170753534</v>
      </c>
      <c r="CZ163" s="60">
        <f t="shared" si="150"/>
        <v>154.08406475869634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-4.6288732846733184E-13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430.21146937947236</v>
      </c>
      <c r="T164" s="60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-1.6227659216383472E-13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370.04285308422544</v>
      </c>
      <c r="AO164" s="60">
        <f t="shared" si="144"/>
        <v>218.53758068502731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-2.8421709430404007E-13</v>
      </c>
      <c r="BE164" s="14">
        <f>BD164*VLOOKUP('Données projet'!$B$11,Paramètres!$A$1:$I$89,3,0)*VLOOKUP('Données projet'!$B$11,Paramètres!$A$1:$I$89,5,0)</f>
        <v>-1.69961822393816E-13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225.82185458224626</v>
      </c>
      <c r="BJ164" s="60">
        <f t="shared" si="146"/>
        <v>363.02009369315243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7.8312967365851449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1.1999060324280624E-16</v>
      </c>
      <c r="BS164" s="24">
        <f t="shared" si="169"/>
        <v>7.8312967365851449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380.16582491288449</v>
      </c>
      <c r="CE164" s="60">
        <f t="shared" si="148"/>
        <v>166.97658184507776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345.71694170753534</v>
      </c>
      <c r="CZ164" s="60">
        <f t="shared" si="150"/>
        <v>154.08406475869634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-4.6288732846733184E-13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430.21146937947236</v>
      </c>
      <c r="T165" s="60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-1.6227659216383472E-13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370.04285308422544</v>
      </c>
      <c r="AO165" s="60">
        <f t="shared" si="144"/>
        <v>218.53758068502731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-2.8421709430404007E-13</v>
      </c>
      <c r="BE165" s="14">
        <f>BD165*VLOOKUP('Données projet'!$B$11,Paramètres!$A$1:$I$89,3,0)*VLOOKUP('Données projet'!$B$11,Paramètres!$A$1:$I$89,5,0)</f>
        <v>-1.69961822393816E-13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225.82185458224626</v>
      </c>
      <c r="BJ165" s="60">
        <f t="shared" si="146"/>
        <v>363.02009369315243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7.6777297842000678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8.4846169231652831E-17</v>
      </c>
      <c r="BS165" s="24">
        <f t="shared" si="169"/>
        <v>7.6777297842000678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380.16582491288449</v>
      </c>
      <c r="CE165" s="60">
        <f t="shared" si="148"/>
        <v>166.97658184507776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345.71694170753534</v>
      </c>
      <c r="CZ165" s="60">
        <f t="shared" si="150"/>
        <v>154.08406475869634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-4.6288732846733184E-13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430.21146937947236</v>
      </c>
      <c r="T166" s="60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-1.6227659216383472E-13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370.04285308422544</v>
      </c>
      <c r="AO166" s="60">
        <f t="shared" si="144"/>
        <v>218.53758068502731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-2.8421709430404007E-13</v>
      </c>
      <c r="BE166" s="14">
        <f>BD166*VLOOKUP('Données projet'!$B$11,Paramètres!$A$1:$I$89,3,0)*VLOOKUP('Données projet'!$B$11,Paramètres!$A$1:$I$89,5,0)</f>
        <v>-1.69961822393816E-13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225.82185458224626</v>
      </c>
      <c r="BJ166" s="60">
        <f t="shared" si="146"/>
        <v>363.02009369315243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7.5271741860846699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5.9995301621403119E-17</v>
      </c>
      <c r="BS166" s="24">
        <f t="shared" si="169"/>
        <v>7.5271741860846699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380.16582491288449</v>
      </c>
      <c r="CE166" s="60">
        <f t="shared" si="148"/>
        <v>166.97658184507776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345.71694170753534</v>
      </c>
      <c r="CZ166" s="60">
        <f t="shared" si="150"/>
        <v>154.08406475869634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-4.6288732846733184E-13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430.21146937947236</v>
      </c>
      <c r="T167" s="60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-1.6227659216383472E-13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370.04285308422544</v>
      </c>
      <c r="AO167" s="60">
        <f t="shared" si="144"/>
        <v>218.53758068502731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-2.8421709430404007E-13</v>
      </c>
      <c r="BE167" s="14">
        <f>BD167*VLOOKUP('Données projet'!$B$11,Paramètres!$A$1:$I$89,3,0)*VLOOKUP('Données projet'!$B$11,Paramètres!$A$1:$I$89,5,0)</f>
        <v>-1.69961822393816E-13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225.82185458224626</v>
      </c>
      <c r="BJ167" s="60">
        <f t="shared" si="146"/>
        <v>363.02009369315243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7.3795708914184672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4.2423084615826415E-17</v>
      </c>
      <c r="BS167" s="24">
        <f t="shared" si="169"/>
        <v>7.3795708914184672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380.16582491288449</v>
      </c>
      <c r="CE167" s="60">
        <f t="shared" si="148"/>
        <v>166.97658184507776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345.71694170753534</v>
      </c>
      <c r="CZ167" s="60">
        <f t="shared" si="150"/>
        <v>154.08406475869634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-4.6288732846733184E-13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430.21146937947236</v>
      </c>
      <c r="T168" s="60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-1.6227659216383472E-13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370.04285308422544</v>
      </c>
      <c r="AO168" s="60">
        <f t="shared" si="144"/>
        <v>218.53758068502731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-2.8421709430404007E-13</v>
      </c>
      <c r="BE168" s="14">
        <f>BD168*VLOOKUP('Données projet'!$B$11,Paramètres!$A$1:$I$89,3,0)*VLOOKUP('Données projet'!$B$11,Paramètres!$A$1:$I$89,5,0)</f>
        <v>-1.69961822393816E-13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225.82185458224626</v>
      </c>
      <c r="BJ168" s="60">
        <f t="shared" si="146"/>
        <v>363.02009369315243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7.2348620073315484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2.9997650810701559E-17</v>
      </c>
      <c r="BS168" s="24">
        <f t="shared" si="169"/>
        <v>7.2348620073315484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380.16582491288449</v>
      </c>
      <c r="CE168" s="60">
        <f t="shared" si="148"/>
        <v>166.97658184507776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345.71694170753534</v>
      </c>
      <c r="CZ168" s="60">
        <f t="shared" si="150"/>
        <v>154.08406475869634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-4.6288732846733184E-13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430.21146937947236</v>
      </c>
      <c r="T169" s="60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-1.6227659216383472E-13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370.04285308422544</v>
      </c>
      <c r="AO169" s="60">
        <f t="shared" si="144"/>
        <v>218.53758068502731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-2.8421709430404007E-13</v>
      </c>
      <c r="BE169" s="14">
        <f>BD169*VLOOKUP('Données projet'!$B$11,Paramètres!$A$1:$I$89,3,0)*VLOOKUP('Données projet'!$B$11,Paramètres!$A$1:$I$89,5,0)</f>
        <v>-1.69961822393816E-13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225.82185458224626</v>
      </c>
      <c r="BJ169" s="60">
        <f t="shared" si="146"/>
        <v>363.02009369315243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7.0929907761978708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2.1211542307913208E-17</v>
      </c>
      <c r="BS169" s="24">
        <f t="shared" si="169"/>
        <v>7.0929907761978708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380.16582491288449</v>
      </c>
      <c r="CE169" s="60">
        <f t="shared" si="148"/>
        <v>166.97658184507776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345.71694170753534</v>
      </c>
      <c r="CZ169" s="60">
        <f t="shared" si="150"/>
        <v>154.08406475869634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-4.6288732846733184E-13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430.21146937947236</v>
      </c>
      <c r="T170" s="60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-1.6227659216383472E-13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370.04285308422544</v>
      </c>
      <c r="AO170" s="60">
        <f t="shared" si="144"/>
        <v>218.53758068502731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-2.8421709430404007E-13</v>
      </c>
      <c r="BE170" s="14">
        <f>BD170*VLOOKUP('Données projet'!$B$11,Paramètres!$A$1:$I$89,3,0)*VLOOKUP('Données projet'!$B$11,Paramètres!$A$1:$I$89,5,0)</f>
        <v>-1.69961822393816E-13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225.82185458224626</v>
      </c>
      <c r="BJ170" s="60">
        <f t="shared" si="146"/>
        <v>363.02009369315243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6.953901553373818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1.499882540535078E-17</v>
      </c>
      <c r="BS170" s="24">
        <f t="shared" si="169"/>
        <v>6.953901553373818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380.16582491288449</v>
      </c>
      <c r="CE170" s="60">
        <f t="shared" si="148"/>
        <v>166.97658184507776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345.71694170753534</v>
      </c>
      <c r="CZ170" s="60">
        <f t="shared" si="150"/>
        <v>154.08406475869634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-4.6288732846733184E-13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430.21146937947236</v>
      </c>
      <c r="T171" s="60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-1.6227659216383472E-13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370.04285308422544</v>
      </c>
      <c r="AO171" s="60">
        <f t="shared" si="144"/>
        <v>218.53758068502731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-2.8421709430404007E-13</v>
      </c>
      <c r="BE171" s="14">
        <f>BD171*VLOOKUP('Données projet'!$B$11,Paramètres!$A$1:$I$89,3,0)*VLOOKUP('Données projet'!$B$11,Paramètres!$A$1:$I$89,5,0)</f>
        <v>-1.69961822393816E-13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225.82185458224626</v>
      </c>
      <c r="BJ171" s="60">
        <f t="shared" si="146"/>
        <v>363.02009369315243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6.8175397853732953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1.0605771153956604E-17</v>
      </c>
      <c r="BS171" s="24">
        <f t="shared" si="169"/>
        <v>6.8175397853732953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380.16582491288449</v>
      </c>
      <c r="CE171" s="60">
        <f t="shared" si="148"/>
        <v>166.97658184507776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345.71694170753534</v>
      </c>
      <c r="CZ171" s="60">
        <f t="shared" si="150"/>
        <v>154.08406475869634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-4.6288732846733184E-13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430.21146937947236</v>
      </c>
      <c r="T172" s="60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-1.6227659216383472E-13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370.04285308422544</v>
      </c>
      <c r="AO172" s="60">
        <f t="shared" si="144"/>
        <v>218.53758068502731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-2.8421709430404007E-13</v>
      </c>
      <c r="BE172" s="14">
        <f>BD172*VLOOKUP('Données projet'!$B$11,Paramètres!$A$1:$I$89,3,0)*VLOOKUP('Données projet'!$B$11,Paramètres!$A$1:$I$89,5,0)</f>
        <v>-1.69961822393816E-13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225.82185458224626</v>
      </c>
      <c r="BJ172" s="60">
        <f t="shared" si="146"/>
        <v>363.02009369315243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6.6838519884707974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7.4994127026753898E-18</v>
      </c>
      <c r="BS172" s="24">
        <f t="shared" si="169"/>
        <v>6.6838519884707974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380.16582491288449</v>
      </c>
      <c r="CE172" s="60">
        <f t="shared" si="148"/>
        <v>166.97658184507776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345.71694170753534</v>
      </c>
      <c r="CZ172" s="60">
        <f t="shared" si="150"/>
        <v>154.08406475869634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-4.6288732846733184E-13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430.21146937947236</v>
      </c>
      <c r="T173" s="60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-1.6227659216383472E-13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370.04285308422544</v>
      </c>
      <c r="AO173" s="60">
        <f t="shared" si="144"/>
        <v>218.53758068502731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-2.8421709430404007E-13</v>
      </c>
      <c r="BE173" s="14">
        <f>BD173*VLOOKUP('Données projet'!$B$11,Paramètres!$A$1:$I$89,3,0)*VLOOKUP('Données projet'!$B$11,Paramètres!$A$1:$I$89,5,0)</f>
        <v>-1.69961822393816E-13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225.82185458224626</v>
      </c>
      <c r="BJ173" s="60">
        <f t="shared" si="146"/>
        <v>363.02009369315243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6.5527857277240527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5.3028855769783019E-18</v>
      </c>
      <c r="BS173" s="24">
        <f t="shared" si="169"/>
        <v>6.5527857277240527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380.16582491288449</v>
      </c>
      <c r="CE173" s="60">
        <f t="shared" si="148"/>
        <v>166.97658184507776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345.71694170753534</v>
      </c>
      <c r="CZ173" s="60">
        <f t="shared" si="150"/>
        <v>154.08406475869634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-4.6288732846733184E-13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430.21146937947236</v>
      </c>
      <c r="T174" s="60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-1.6227659216383472E-13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370.04285308422544</v>
      </c>
      <c r="AO174" s="60">
        <f t="shared" si="144"/>
        <v>218.53758068502731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-2.8421709430404007E-13</v>
      </c>
      <c r="BE174" s="14">
        <f>BD174*VLOOKUP('Données projet'!$B$11,Paramètres!$A$1:$I$89,3,0)*VLOOKUP('Données projet'!$B$11,Paramètres!$A$1:$I$89,5,0)</f>
        <v>-1.69961822393816E-13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225.82185458224626</v>
      </c>
      <c r="BJ174" s="60">
        <f t="shared" si="146"/>
        <v>363.02009369315243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6.424289596408026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3.7497063513376949E-18</v>
      </c>
      <c r="BS174" s="24">
        <f t="shared" si="169"/>
        <v>6.424289596408026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380.16582491288449</v>
      </c>
      <c r="CE174" s="60">
        <f t="shared" si="148"/>
        <v>166.97658184507776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345.71694170753534</v>
      </c>
      <c r="CZ174" s="60">
        <f t="shared" si="150"/>
        <v>154.08406475869634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-4.6288732846733184E-13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430.21146937947236</v>
      </c>
      <c r="T175" s="60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-1.6227659216383472E-13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370.04285308422544</v>
      </c>
      <c r="AO175" s="60">
        <f t="shared" si="144"/>
        <v>218.53758068502731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-2.8421709430404007E-13</v>
      </c>
      <c r="BE175" s="14">
        <f>BD175*VLOOKUP('Données projet'!$B$11,Paramètres!$A$1:$I$89,3,0)*VLOOKUP('Données projet'!$B$11,Paramètres!$A$1:$I$89,5,0)</f>
        <v>-1.69961822393816E-13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225.82185458224626</v>
      </c>
      <c r="BJ175" s="60">
        <f t="shared" si="146"/>
        <v>363.02009369315243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6.2983131958522058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2.651442788489151E-18</v>
      </c>
      <c r="BS175" s="24">
        <f t="shared" si="169"/>
        <v>6.2983131958522058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380.16582491288449</v>
      </c>
      <c r="CE175" s="60">
        <f t="shared" si="148"/>
        <v>166.97658184507776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345.71694170753534</v>
      </c>
      <c r="CZ175" s="60">
        <f t="shared" si="150"/>
        <v>154.08406475869634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-4.6288732846733184E-13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430.21146937947236</v>
      </c>
      <c r="T176" s="60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-1.6227659216383472E-13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370.04285308422544</v>
      </c>
      <c r="AO176" s="60">
        <f t="shared" si="144"/>
        <v>218.53758068502731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-2.8421709430404007E-13</v>
      </c>
      <c r="BE176" s="14">
        <f>BD176*VLOOKUP('Données projet'!$B$11,Paramètres!$A$1:$I$89,3,0)*VLOOKUP('Données projet'!$B$11,Paramètres!$A$1:$I$89,5,0)</f>
        <v>-1.69961822393816E-13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225.82185458224626</v>
      </c>
      <c r="BJ176" s="60">
        <f t="shared" si="146"/>
        <v>363.02009369315243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6.1748071156732678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1.8748531756688475E-18</v>
      </c>
      <c r="BS176" s="24">
        <f t="shared" si="169"/>
        <v>6.1748071156732678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380.16582491288449</v>
      </c>
      <c r="CE176" s="60">
        <f t="shared" si="148"/>
        <v>166.97658184507776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345.71694170753534</v>
      </c>
      <c r="CZ176" s="60">
        <f t="shared" si="150"/>
        <v>154.08406475869634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-4.6288732846733184E-13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430.21146937947236</v>
      </c>
      <c r="T177" s="60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-1.6227659216383472E-13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370.04285308422544</v>
      </c>
      <c r="AO177" s="60">
        <f t="shared" si="144"/>
        <v>218.53758068502731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-2.8421709430404007E-13</v>
      </c>
      <c r="BE177" s="14">
        <f>BD177*VLOOKUP('Données projet'!$B$11,Paramètres!$A$1:$I$89,3,0)*VLOOKUP('Données projet'!$B$11,Paramètres!$A$1:$I$89,5,0)</f>
        <v>-1.69961822393816E-13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225.82185458224626</v>
      </c>
      <c r="BJ177" s="60">
        <f t="shared" si="146"/>
        <v>363.02009369315243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6.0537229143953679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1.3257213942445755E-18</v>
      </c>
      <c r="BS177" s="24">
        <f t="shared" si="169"/>
        <v>6.0537229143953679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380.16582491288449</v>
      </c>
      <c r="CE177" s="60">
        <f t="shared" si="148"/>
        <v>166.97658184507776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345.71694170753534</v>
      </c>
      <c r="CZ177" s="60">
        <f t="shared" si="150"/>
        <v>154.08406475869634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-4.6288732846733184E-13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430.21146937947236</v>
      </c>
      <c r="T178" s="60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-1.6227659216383472E-13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370.04285308422544</v>
      </c>
      <c r="AO178" s="60">
        <f t="shared" si="144"/>
        <v>218.53758068502731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-2.8421709430404007E-13</v>
      </c>
      <c r="BE178" s="14">
        <f>BD178*VLOOKUP('Données projet'!$B$11,Paramètres!$A$1:$I$89,3,0)*VLOOKUP('Données projet'!$B$11,Paramètres!$A$1:$I$89,5,0)</f>
        <v>-1.69961822393816E-13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225.82185458224626</v>
      </c>
      <c r="BJ178" s="60">
        <f t="shared" si="146"/>
        <v>363.02009369315243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5.9350131004504574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9.3742658783442373E-19</v>
      </c>
      <c r="BS178" s="24">
        <f t="shared" si="169"/>
        <v>5.9350131004504574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380.16582491288449</v>
      </c>
      <c r="CE178" s="60">
        <f t="shared" si="148"/>
        <v>166.97658184507776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345.71694170753534</v>
      </c>
      <c r="CZ178" s="60">
        <f t="shared" si="150"/>
        <v>154.08406475869634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-4.6288732846733184E-13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430.21146937947236</v>
      </c>
      <c r="T179" s="60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-1.6227659216383472E-13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370.04285308422544</v>
      </c>
      <c r="AO179" s="60">
        <f t="shared" si="144"/>
        <v>218.53758068502731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-2.8421709430404007E-13</v>
      </c>
      <c r="BE179" s="14">
        <f>BD179*VLOOKUP('Données projet'!$B$11,Paramètres!$A$1:$I$89,3,0)*VLOOKUP('Données projet'!$B$11,Paramètres!$A$1:$I$89,5,0)</f>
        <v>-1.69961822393816E-13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225.82185458224626</v>
      </c>
      <c r="BJ179" s="60">
        <f t="shared" si="146"/>
        <v>363.02009369315243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5.8186311135511701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6.6286069712228774E-19</v>
      </c>
      <c r="BS179" s="24">
        <f t="shared" si="169"/>
        <v>5.8186311135511701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380.16582491288449</v>
      </c>
      <c r="CE179" s="60">
        <f t="shared" si="148"/>
        <v>166.97658184507776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345.71694170753534</v>
      </c>
      <c r="CZ179" s="60">
        <f t="shared" si="150"/>
        <v>154.08406475869634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-4.6288732846733184E-13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430.21146937947236</v>
      </c>
      <c r="T180" s="60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-1.6227659216383472E-13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370.04285308422544</v>
      </c>
      <c r="AO180" s="60">
        <f t="shared" si="144"/>
        <v>218.53758068502731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-2.8421709430404007E-13</v>
      </c>
      <c r="BE180" s="14">
        <f>BD180*VLOOKUP('Données projet'!$B$11,Paramètres!$A$1:$I$89,3,0)*VLOOKUP('Données projet'!$B$11,Paramètres!$A$1:$I$89,5,0)</f>
        <v>-1.69961822393816E-13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225.82185458224626</v>
      </c>
      <c r="BJ180" s="60">
        <f t="shared" si="146"/>
        <v>363.02009369315243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5.7045313064289749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4.6871329391721187E-19</v>
      </c>
      <c r="BS180" s="24">
        <f t="shared" si="169"/>
        <v>5.7045313064289749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380.16582491288449</v>
      </c>
      <c r="CE180" s="60">
        <f t="shared" si="148"/>
        <v>166.97658184507776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345.71694170753534</v>
      </c>
      <c r="CZ180" s="60">
        <f t="shared" si="150"/>
        <v>154.08406475869634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-4.6288732846733184E-13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430.21146937947236</v>
      </c>
      <c r="T181" s="60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-1.6227659216383472E-13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370.04285308422544</v>
      </c>
      <c r="AO181" s="60">
        <f t="shared" si="144"/>
        <v>218.53758068502731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-2.8421709430404007E-13</v>
      </c>
      <c r="BE181" s="14">
        <f>BD181*VLOOKUP('Données projet'!$B$11,Paramètres!$A$1:$I$89,3,0)*VLOOKUP('Données projet'!$B$11,Paramètres!$A$1:$I$89,5,0)</f>
        <v>-1.69961822393816E-13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225.82185458224626</v>
      </c>
      <c r="BJ181" s="60">
        <f t="shared" si="146"/>
        <v>363.02009369315243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5.5926689269304353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3.3143034856114387E-19</v>
      </c>
      <c r="BS181" s="24">
        <f t="shared" si="169"/>
        <v>5.5926689269304353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380.16582491288449</v>
      </c>
      <c r="CE181" s="60">
        <f t="shared" si="148"/>
        <v>166.97658184507776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345.71694170753534</v>
      </c>
      <c r="CZ181" s="60">
        <f t="shared" si="150"/>
        <v>154.08406475869634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-4.6288732846733184E-13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430.21146937947236</v>
      </c>
      <c r="T182" s="60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-1.6227659216383472E-13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370.04285308422544</v>
      </c>
      <c r="AO182" s="60">
        <f t="shared" si="144"/>
        <v>218.53758068502731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-2.8421709430404007E-13</v>
      </c>
      <c r="BE182" s="14">
        <f>BD182*VLOOKUP('Données projet'!$B$11,Paramètres!$A$1:$I$89,3,0)*VLOOKUP('Données projet'!$B$11,Paramètres!$A$1:$I$89,5,0)</f>
        <v>-1.69961822393816E-13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225.82185458224626</v>
      </c>
      <c r="BJ182" s="60">
        <f t="shared" si="146"/>
        <v>363.02009369315243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5.4830001004645474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2.3435664695860593E-19</v>
      </c>
      <c r="BS182" s="24">
        <f t="shared" si="169"/>
        <v>5.4830001004645474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380.16582491288449</v>
      </c>
      <c r="CE182" s="60">
        <f t="shared" si="148"/>
        <v>166.97658184507776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345.71694170753534</v>
      </c>
      <c r="CZ182" s="60">
        <f t="shared" si="150"/>
        <v>154.08406475869634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-4.6288732846733184E-13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430.21146937947236</v>
      </c>
      <c r="T183" s="60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-1.6227659216383472E-13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370.04285308422544</v>
      </c>
      <c r="AO183" s="60">
        <f t="shared" si="144"/>
        <v>218.53758068502731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-2.8421709430404007E-13</v>
      </c>
      <c r="BE183" s="14">
        <f>BD183*VLOOKUP('Données projet'!$B$11,Paramètres!$A$1:$I$89,3,0)*VLOOKUP('Données projet'!$B$11,Paramètres!$A$1:$I$89,5,0)</f>
        <v>-1.69961822393816E-13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225.82185458224626</v>
      </c>
      <c r="BJ183" s="60">
        <f t="shared" si="146"/>
        <v>363.02009369315243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5.3754818127942769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1.6571517428057194E-19</v>
      </c>
      <c r="BS183" s="24">
        <f t="shared" si="169"/>
        <v>5.3754818127942769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380.16582491288449</v>
      </c>
      <c r="CE183" s="60">
        <f t="shared" si="148"/>
        <v>166.97658184507776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345.71694170753534</v>
      </c>
      <c r="CZ183" s="60">
        <f t="shared" si="150"/>
        <v>154.08406475869634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-4.6288732846733184E-13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430.21146937947236</v>
      </c>
      <c r="T184" s="60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-1.6227659216383472E-13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370.04285308422544</v>
      </c>
      <c r="AO184" s="60">
        <f t="shared" si="144"/>
        <v>218.53758068502731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-2.8421709430404007E-13</v>
      </c>
      <c r="BE184" s="14">
        <f>BD184*VLOOKUP('Données projet'!$B$11,Paramètres!$A$1:$I$89,3,0)*VLOOKUP('Données projet'!$B$11,Paramètres!$A$1:$I$89,5,0)</f>
        <v>-1.69961822393816E-13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225.82185458224626</v>
      </c>
      <c r="BJ184" s="60">
        <f t="shared" si="146"/>
        <v>363.02009369315243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5.2700718931655404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1.1717832347930297E-19</v>
      </c>
      <c r="BS184" s="24">
        <f t="shared" si="169"/>
        <v>5.2700718931655404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380.16582491288449</v>
      </c>
      <c r="CE184" s="60">
        <f t="shared" si="148"/>
        <v>166.97658184507776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345.71694170753534</v>
      </c>
      <c r="CZ184" s="60">
        <f t="shared" si="150"/>
        <v>154.08406475869634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-4.6288732846733184E-13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430.21146937947236</v>
      </c>
      <c r="T185" s="60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-1.6227659216383472E-13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370.04285308422544</v>
      </c>
      <c r="AO185" s="60">
        <f t="shared" si="144"/>
        <v>218.53758068502731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-2.8421709430404007E-13</v>
      </c>
      <c r="BE185" s="14">
        <f>BD185*VLOOKUP('Données projet'!$B$11,Paramètres!$A$1:$I$89,3,0)*VLOOKUP('Données projet'!$B$11,Paramètres!$A$1:$I$89,5,0)</f>
        <v>-1.69961822393816E-13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225.82185458224626</v>
      </c>
      <c r="BJ185" s="60">
        <f t="shared" si="146"/>
        <v>363.02009369315243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5.166728997767021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8.2857587140285968E-20</v>
      </c>
      <c r="BS185" s="24">
        <f t="shared" si="169"/>
        <v>5.166728997767021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380.16582491288449</v>
      </c>
      <c r="CE185" s="60">
        <f t="shared" si="148"/>
        <v>166.97658184507776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345.71694170753534</v>
      </c>
      <c r="CZ185" s="60">
        <f t="shared" si="150"/>
        <v>154.08406475869634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-4.6288732846733184E-13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430.21146937947236</v>
      </c>
      <c r="T186" s="60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-1.6227659216383472E-13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370.04285308422544</v>
      </c>
      <c r="AO186" s="60">
        <f t="shared" si="144"/>
        <v>218.53758068502731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-2.8421709430404007E-13</v>
      </c>
      <c r="BE186" s="14">
        <f>BD186*VLOOKUP('Données projet'!$B$11,Paramètres!$A$1:$I$89,3,0)*VLOOKUP('Données projet'!$B$11,Paramètres!$A$1:$I$89,5,0)</f>
        <v>-1.69961822393816E-13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225.82185458224626</v>
      </c>
      <c r="BJ186" s="60">
        <f t="shared" si="146"/>
        <v>363.02009369315243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5.0654125935143242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5.8589161739651483E-20</v>
      </c>
      <c r="BS186" s="24">
        <f t="shared" si="169"/>
        <v>5.0654125935143242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380.16582491288449</v>
      </c>
      <c r="CE186" s="60">
        <f t="shared" si="148"/>
        <v>166.97658184507776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345.71694170753534</v>
      </c>
      <c r="CZ186" s="60">
        <f t="shared" si="150"/>
        <v>154.08406475869634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-4.6288732846733184E-13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430.21146937947236</v>
      </c>
      <c r="T187" s="60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-1.6227659216383472E-13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370.04285308422544</v>
      </c>
      <c r="AO187" s="60">
        <f t="shared" si="144"/>
        <v>218.53758068502731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-2.8421709430404007E-13</v>
      </c>
      <c r="BE187" s="14">
        <f>BD187*VLOOKUP('Données projet'!$B$11,Paramètres!$A$1:$I$89,3,0)*VLOOKUP('Données projet'!$B$11,Paramètres!$A$1:$I$89,5,0)</f>
        <v>-1.69961822393816E-13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225.82185458224626</v>
      </c>
      <c r="BJ187" s="60">
        <f t="shared" si="146"/>
        <v>363.02009369315243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4.9660829421521182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4.1428793570142984E-20</v>
      </c>
      <c r="BS187" s="24">
        <f t="shared" si="169"/>
        <v>4.9660829421521182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380.16582491288449</v>
      </c>
      <c r="CE187" s="60">
        <f t="shared" si="148"/>
        <v>166.97658184507776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345.71694170753534</v>
      </c>
      <c r="CZ187" s="60">
        <f t="shared" si="150"/>
        <v>154.08406475869634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-4.6288732846733184E-13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430.21146937947236</v>
      </c>
      <c r="T188" s="60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-1.6227659216383472E-13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370.04285308422544</v>
      </c>
      <c r="AO188" s="60">
        <f t="shared" si="144"/>
        <v>218.53758068502731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-2.8421709430404007E-13</v>
      </c>
      <c r="BE188" s="14">
        <f>BD188*VLOOKUP('Données projet'!$B$11,Paramètres!$A$1:$I$89,3,0)*VLOOKUP('Données projet'!$B$11,Paramètres!$A$1:$I$89,5,0)</f>
        <v>-1.69961822393816E-13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225.82185458224626</v>
      </c>
      <c r="BJ188" s="60">
        <f t="shared" si="146"/>
        <v>363.02009369315243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4.8687010846680199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2.9294580869825742E-20</v>
      </c>
      <c r="BS188" s="24">
        <f t="shared" si="169"/>
        <v>4.8687010846680199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380.16582491288449</v>
      </c>
      <c r="CE188" s="60">
        <f t="shared" si="148"/>
        <v>166.97658184507776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345.71694170753534</v>
      </c>
      <c r="CZ188" s="60">
        <f t="shared" si="150"/>
        <v>154.08406475869634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-4.6288732846733184E-13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430.21146937947236</v>
      </c>
      <c r="T189" s="60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-1.6227659216383472E-13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370.04285308422544</v>
      </c>
      <c r="AO189" s="60">
        <f t="shared" si="144"/>
        <v>218.53758068502731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-2.8421709430404007E-13</v>
      </c>
      <c r="BE189" s="14">
        <f>BD189*VLOOKUP('Données projet'!$B$11,Paramètres!$A$1:$I$89,3,0)*VLOOKUP('Données projet'!$B$11,Paramètres!$A$1:$I$89,5,0)</f>
        <v>-1.69961822393816E-13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225.82185458224626</v>
      </c>
      <c r="BJ189" s="60">
        <f t="shared" si="146"/>
        <v>363.02009369315243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4.773228826012117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2.0714396785071492E-20</v>
      </c>
      <c r="BS189" s="24">
        <f t="shared" si="169"/>
        <v>4.773228826012117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380.16582491288449</v>
      </c>
      <c r="CE189" s="60">
        <f t="shared" si="148"/>
        <v>166.97658184507776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345.71694170753534</v>
      </c>
      <c r="CZ189" s="60">
        <f t="shared" si="150"/>
        <v>154.08406475869634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-4.6288732846733184E-13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430.21146937947236</v>
      </c>
      <c r="T190" s="60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-1.6227659216383472E-13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370.04285308422544</v>
      </c>
      <c r="AO190" s="60">
        <f t="shared" si="144"/>
        <v>218.53758068502731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-2.8421709430404007E-13</v>
      </c>
      <c r="BE190" s="14">
        <f>BD190*VLOOKUP('Données projet'!$B$11,Paramètres!$A$1:$I$89,3,0)*VLOOKUP('Données projet'!$B$11,Paramètres!$A$1:$I$89,5,0)</f>
        <v>-1.69961822393816E-13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225.82185458224626</v>
      </c>
      <c r="BJ190" s="60">
        <f t="shared" si="146"/>
        <v>363.02009369315243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4.6796287201161277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1.4647290434912871E-20</v>
      </c>
      <c r="BS190" s="24">
        <f t="shared" si="169"/>
        <v>4.6796287201161277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380.16582491288449</v>
      </c>
      <c r="CE190" s="60">
        <f t="shared" si="148"/>
        <v>166.97658184507776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345.71694170753534</v>
      </c>
      <c r="CZ190" s="60">
        <f t="shared" si="150"/>
        <v>154.08406475869634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-4.6288732846733184E-13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430.21146937947236</v>
      </c>
      <c r="T191" s="60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-1.6227659216383472E-13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370.04285308422544</v>
      </c>
      <c r="AO191" s="60">
        <f t="shared" si="144"/>
        <v>218.53758068502731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-2.8421709430404007E-13</v>
      </c>
      <c r="BE191" s="14">
        <f>BD191*VLOOKUP('Données projet'!$B$11,Paramètres!$A$1:$I$89,3,0)*VLOOKUP('Données projet'!$B$11,Paramètres!$A$1:$I$89,5,0)</f>
        <v>-1.69961822393816E-13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225.82185458224626</v>
      </c>
      <c r="BJ191" s="60">
        <f t="shared" si="146"/>
        <v>363.02009369315243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4.5878640552063317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1.0357198392535746E-20</v>
      </c>
      <c r="BS191" s="24">
        <f t="shared" si="169"/>
        <v>4.5878640552063317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380.16582491288449</v>
      </c>
      <c r="CE191" s="60">
        <f t="shared" si="148"/>
        <v>166.97658184507776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345.71694170753534</v>
      </c>
      <c r="CZ191" s="60">
        <f t="shared" si="150"/>
        <v>154.08406475869634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-4.6288732846733184E-13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430.21146937947236</v>
      </c>
      <c r="T192" s="60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-1.6227659216383472E-13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370.04285308422544</v>
      </c>
      <c r="AO192" s="60">
        <f t="shared" si="144"/>
        <v>218.53758068502731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-2.8421709430404007E-13</v>
      </c>
      <c r="BE192" s="14">
        <f>BD192*VLOOKUP('Données projet'!$B$11,Paramètres!$A$1:$I$89,3,0)*VLOOKUP('Données projet'!$B$11,Paramètres!$A$1:$I$89,5,0)</f>
        <v>-1.69961822393816E-13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225.82185458224626</v>
      </c>
      <c r="BJ192" s="60">
        <f t="shared" si="146"/>
        <v>363.02009369315243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4.4978988394044981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7.3236452174564354E-21</v>
      </c>
      <c r="BS192" s="24">
        <f t="shared" si="169"/>
        <v>4.4978988394044981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380.16582491288449</v>
      </c>
      <c r="CE192" s="60">
        <f t="shared" si="148"/>
        <v>166.97658184507776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345.71694170753534</v>
      </c>
      <c r="CZ192" s="60">
        <f t="shared" si="150"/>
        <v>154.08406475869634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-4.6288732846733184E-13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430.21146937947236</v>
      </c>
      <c r="T193" s="60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-1.6227659216383472E-13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370.04285308422544</v>
      </c>
      <c r="AO193" s="60">
        <f t="shared" si="144"/>
        <v>218.53758068502731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-2.8421709430404007E-13</v>
      </c>
      <c r="BE193" s="14">
        <f>BD193*VLOOKUP('Données projet'!$B$11,Paramètres!$A$1:$I$89,3,0)*VLOOKUP('Données projet'!$B$11,Paramètres!$A$1:$I$89,5,0)</f>
        <v>-1.69961822393816E-13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225.82185458224626</v>
      </c>
      <c r="BJ193" s="60">
        <f t="shared" si="146"/>
        <v>363.02009369315243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4.4096977866111748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5.178599196267873E-21</v>
      </c>
      <c r="BS193" s="24">
        <f t="shared" si="169"/>
        <v>4.4096977866111748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380.16582491288449</v>
      </c>
      <c r="CE193" s="60">
        <f t="shared" si="148"/>
        <v>166.97658184507776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345.71694170753534</v>
      </c>
      <c r="CZ193" s="60">
        <f t="shared" si="150"/>
        <v>154.08406475869634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-4.6288732846733184E-13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430.21146937947236</v>
      </c>
      <c r="T194" s="60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-1.6227659216383472E-13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370.04285308422544</v>
      </c>
      <c r="AO194" s="60">
        <f t="shared" si="144"/>
        <v>218.53758068502731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-2.8421709430404007E-13</v>
      </c>
      <c r="BE194" s="14">
        <f>BD194*VLOOKUP('Données projet'!$B$11,Paramètres!$A$1:$I$89,3,0)*VLOOKUP('Données projet'!$B$11,Paramètres!$A$1:$I$89,5,0)</f>
        <v>-1.69961822393816E-13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225.82185458224626</v>
      </c>
      <c r="BJ194" s="60">
        <f t="shared" si="146"/>
        <v>363.02009369315243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4.3232263026657982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3.6618226087282177E-21</v>
      </c>
      <c r="BS194" s="24">
        <f t="shared" si="169"/>
        <v>4.3232263026657982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380.16582491288449</v>
      </c>
      <c r="CE194" s="60">
        <f t="shared" si="148"/>
        <v>166.97658184507776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345.71694170753534</v>
      </c>
      <c r="CZ194" s="60">
        <f t="shared" si="150"/>
        <v>154.08406475869634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-4.6288732846733184E-13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430.21146937947236</v>
      </c>
      <c r="T195" s="60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-1.6227659216383472E-13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370.04285308422544</v>
      </c>
      <c r="AO195" s="60">
        <f t="shared" si="144"/>
        <v>218.53758068502731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-2.8421709430404007E-13</v>
      </c>
      <c r="BE195" s="14">
        <f>BD195*VLOOKUP('Données projet'!$B$11,Paramètres!$A$1:$I$89,3,0)*VLOOKUP('Données projet'!$B$11,Paramètres!$A$1:$I$89,5,0)</f>
        <v>-1.69961822393816E-13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225.82185458224626</v>
      </c>
      <c r="BJ195" s="60">
        <f t="shared" si="146"/>
        <v>363.02009369315243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4.2384504717781937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2.5892995981339365E-21</v>
      </c>
      <c r="BS195" s="24">
        <f t="shared" si="169"/>
        <v>4.2384504717781937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380.16582491288449</v>
      </c>
      <c r="CE195" s="60">
        <f t="shared" si="148"/>
        <v>166.97658184507776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345.71694170753534</v>
      </c>
      <c r="CZ195" s="60">
        <f t="shared" si="150"/>
        <v>154.08406475869634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-4.6288732846733184E-13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430.21146937947236</v>
      </c>
      <c r="T196" s="60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-1.6227659216383472E-13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370.04285308422544</v>
      </c>
      <c r="AO196" s="60">
        <f t="shared" si="144"/>
        <v>218.53758068502731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-2.8421709430404007E-13</v>
      </c>
      <c r="BE196" s="14">
        <f>BD196*VLOOKUP('Données projet'!$B$11,Paramètres!$A$1:$I$89,3,0)*VLOOKUP('Données projet'!$B$11,Paramètres!$A$1:$I$89,5,0)</f>
        <v>-1.69961822393816E-13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225.82185458224626</v>
      </c>
      <c r="BJ196" s="60">
        <f t="shared" si="146"/>
        <v>363.02009369315243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4.1553370432261438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1.8309113043641088E-21</v>
      </c>
      <c r="BS196" s="24">
        <f t="shared" si="169"/>
        <v>4.1553370432261438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380.16582491288449</v>
      </c>
      <c r="CE196" s="60">
        <f t="shared" si="148"/>
        <v>166.97658184507776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345.71694170753534</v>
      </c>
      <c r="CZ196" s="60">
        <f t="shared" si="150"/>
        <v>154.08406475869634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-4.6288732846733184E-13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430.21146937947236</v>
      </c>
      <c r="T197" s="60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-1.6227659216383472E-13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370.04285308422544</v>
      </c>
      <c r="AO197" s="60">
        <f t="shared" ref="AO197:AO203" si="205">$AO$3</f>
        <v>218.53758068502731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-2.8421709430404007E-13</v>
      </c>
      <c r="BE197" s="14">
        <f>BD197*VLOOKUP('Données projet'!$B$11,Paramètres!$A$1:$I$89,3,0)*VLOOKUP('Données projet'!$B$11,Paramètres!$A$1:$I$89,5,0)</f>
        <v>-1.69961822393816E-13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225.82185458224626</v>
      </c>
      <c r="BJ197" s="60">
        <f t="shared" ref="BJ197:BJ203" si="206">$BJ$3</f>
        <v>363.02009369315243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4.0738534183138135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1.2946497990669682E-21</v>
      </c>
      <c r="BS197" s="24">
        <f t="shared" si="169"/>
        <v>4.0738534183138135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380.16582491288449</v>
      </c>
      <c r="CE197" s="60">
        <f t="shared" ref="CE197:CE203" si="207">$CE$3</f>
        <v>166.97658184507776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345.71694170753534</v>
      </c>
      <c r="CZ197" s="60">
        <f t="shared" ref="CZ197:CZ203" si="208">$CZ$3</f>
        <v>154.08406475869634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-4.6288732846733184E-13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430.21146937947236</v>
      </c>
      <c r="T198" s="60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-1.6227659216383472E-13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370.04285308422544</v>
      </c>
      <c r="AO198" s="60">
        <f t="shared" si="205"/>
        <v>218.53758068502731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-2.8421709430404007E-13</v>
      </c>
      <c r="BE198" s="14">
        <f>BD198*VLOOKUP('Données projet'!$B$11,Paramètres!$A$1:$I$89,3,0)*VLOOKUP('Données projet'!$B$11,Paramètres!$A$1:$I$89,5,0)</f>
        <v>-1.69961822393816E-13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225.82185458224626</v>
      </c>
      <c r="BJ198" s="60">
        <f t="shared" si="206"/>
        <v>363.02009369315243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3.9939676375859108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9.1545565218205442E-22</v>
      </c>
      <c r="BS198" s="24">
        <f t="shared" si="169"/>
        <v>3.9939676375859108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380.16582491288449</v>
      </c>
      <c r="CE198" s="60">
        <f t="shared" si="207"/>
        <v>166.97658184507776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345.71694170753534</v>
      </c>
      <c r="CZ198" s="60">
        <f t="shared" si="208"/>
        <v>154.08406475869634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-4.6288732846733184E-13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430.21146937947236</v>
      </c>
      <c r="T199" s="60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-1.6227659216383472E-13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370.04285308422544</v>
      </c>
      <c r="AO199" s="60">
        <f t="shared" si="205"/>
        <v>218.53758068502731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-2.8421709430404007E-13</v>
      </c>
      <c r="BE199" s="14">
        <f>BD199*VLOOKUP('Données projet'!$B$11,Paramètres!$A$1:$I$89,3,0)*VLOOKUP('Données projet'!$B$11,Paramètres!$A$1:$I$89,5,0)</f>
        <v>-1.69961822393816E-13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225.82185458224626</v>
      </c>
      <c r="BJ199" s="60">
        <f t="shared" si="206"/>
        <v>363.02009369315243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3.9156483682925671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6.4732489953348412E-22</v>
      </c>
      <c r="BS199" s="24">
        <f t="shared" si="169"/>
        <v>3.9156483682925671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380.16582491288449</v>
      </c>
      <c r="CE199" s="60">
        <f t="shared" si="207"/>
        <v>166.97658184507776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345.71694170753534</v>
      </c>
      <c r="CZ199" s="60">
        <f t="shared" si="208"/>
        <v>154.08406475869634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-4.6288732846733184E-13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430.21146937947236</v>
      </c>
      <c r="T200" s="60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-1.6227659216383472E-13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370.04285308422544</v>
      </c>
      <c r="AO200" s="60">
        <f t="shared" si="205"/>
        <v>218.53758068502731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-2.8421709430404007E-13</v>
      </c>
      <c r="BE200" s="14">
        <f>BD200*VLOOKUP('Données projet'!$B$11,Paramètres!$A$1:$I$89,3,0)*VLOOKUP('Données projet'!$B$11,Paramètres!$A$1:$I$89,5,0)</f>
        <v>-1.69961822393816E-13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225.82185458224626</v>
      </c>
      <c r="BJ200" s="60">
        <f t="shared" si="206"/>
        <v>363.02009369315243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3.8388648921000286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4.5772782609102721E-22</v>
      </c>
      <c r="BS200" s="24">
        <f t="shared" si="169"/>
        <v>3.8388648921000286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380.16582491288449</v>
      </c>
      <c r="CE200" s="60">
        <f t="shared" si="207"/>
        <v>166.97658184507776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345.71694170753534</v>
      </c>
      <c r="CZ200" s="60">
        <f t="shared" si="208"/>
        <v>154.08406475869634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-4.6288732846733184E-13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430.21146937947236</v>
      </c>
      <c r="T201" s="60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-1.6227659216383472E-13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370.04285308422544</v>
      </c>
      <c r="AO201" s="60">
        <f t="shared" si="205"/>
        <v>218.53758068502731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-2.8421709430404007E-13</v>
      </c>
      <c r="BE201" s="14">
        <f>BD201*VLOOKUP('Données projet'!$B$11,Paramètres!$A$1:$I$89,3,0)*VLOOKUP('Données projet'!$B$11,Paramètres!$A$1:$I$89,5,0)</f>
        <v>-1.69961822393816E-13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225.82185458224626</v>
      </c>
      <c r="BJ201" s="60">
        <f t="shared" si="206"/>
        <v>363.02009369315243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3.7635870930423296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3.2366244976674206E-22</v>
      </c>
      <c r="BS201" s="24">
        <f t="shared" si="169"/>
        <v>3.7635870930423296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380.16582491288449</v>
      </c>
      <c r="CE201" s="60">
        <f t="shared" si="207"/>
        <v>166.97658184507776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345.71694170753534</v>
      </c>
      <c r="CZ201" s="60">
        <f t="shared" si="208"/>
        <v>154.08406475869634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-4.6288732846733184E-13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430.21146937947236</v>
      </c>
      <c r="T202" s="60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-1.6227659216383472E-13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370.04285308422544</v>
      </c>
      <c r="AO202" s="60">
        <f t="shared" si="205"/>
        <v>218.53758068502731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-2.8421709430404007E-13</v>
      </c>
      <c r="BE202" s="14">
        <f>BD202*VLOOKUP('Données projet'!$B$11,Paramètres!$A$1:$I$89,3,0)*VLOOKUP('Données projet'!$B$11,Paramètres!$A$1:$I$89,5,0)</f>
        <v>-1.69961822393816E-13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225.82185458224626</v>
      </c>
      <c r="BJ202" s="60">
        <f t="shared" si="206"/>
        <v>363.02009369315243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3.6897854457092283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2.2886391304551361E-22</v>
      </c>
      <c r="BS202" s="24">
        <f t="shared" si="169"/>
        <v>3.6897854457092283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380.16582491288449</v>
      </c>
      <c r="CE202" s="60">
        <f t="shared" si="207"/>
        <v>166.97658184507776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345.71694170753534</v>
      </c>
      <c r="CZ202" s="60">
        <f t="shared" si="208"/>
        <v>154.08406475869634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-4.6288732846733184E-13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430.21146937947236</v>
      </c>
      <c r="T203" s="60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-1.6227659216383472E-13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370.04285308422544</v>
      </c>
      <c r="AO203" s="60">
        <f t="shared" si="205"/>
        <v>218.53758068502731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-2.8421709430404007E-13</v>
      </c>
      <c r="BE203" s="14">
        <f>BD203*VLOOKUP('Données projet'!$B$11,Paramètres!$A$1:$I$89,3,0)*VLOOKUP('Données projet'!$B$11,Paramètres!$A$1:$I$89,5,0)</f>
        <v>-1.69961822393816E-13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225.82185458224626</v>
      </c>
      <c r="BJ203" s="60">
        <f t="shared" si="206"/>
        <v>363.02009369315243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3.6174310036657693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1.6183122488337103E-22</v>
      </c>
      <c r="BS203" s="24">
        <f t="shared" si="169"/>
        <v>3.6174310036657693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380.16582491288449</v>
      </c>
      <c r="CE203" s="60">
        <f t="shared" si="207"/>
        <v>166.97658184507776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345.71694170753534</v>
      </c>
      <c r="CZ203" s="60">
        <f t="shared" si="208"/>
        <v>154.08406475869634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1.3822911730149987</v>
      </c>
      <c r="BV205" s="86">
        <f>EXP(LN('Données projet'!B114)/'Données projet'!A114)</f>
        <v>1.1457367676485573</v>
      </c>
      <c r="CQ205" s="86">
        <f>EXP(LN('Données projet'!B140)/'Données projet'!A140)</f>
        <v>1.1457367676485573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E19" sqref="E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2.8490000000000002</v>
      </c>
      <c r="C6" s="154">
        <f ca="1">IF(OR('Données projet'!B9="",'Données projet'!C9="",'Données projet'!C9=0%),0,Calculateur!S3)</f>
        <v>430.21146937947236</v>
      </c>
      <c r="D6" s="154">
        <f>IF(OR('Données projet'!B9="",'Données projet'!C9="",'Données projet'!C9=0%),0,Calculateur!T3)</f>
        <v>231.36959598460686</v>
      </c>
      <c r="E6" s="154">
        <f ca="1">MIN(C6,D6)</f>
        <v>231.36959598460686</v>
      </c>
      <c r="F6" s="154">
        <f ca="1">E6*B6</f>
        <v>659.171978960145</v>
      </c>
      <c r="G6" s="154">
        <f ca="1">F6*(100%-'Données projet'!$C$24)*(100%-'Données projet'!$C$25)*(100%-'Données projet'!$C$26)*(100%-'Données projet'!$C$27)</f>
        <v>593.2547810641305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5.6980000000000004</v>
      </c>
      <c r="K6" s="158">
        <f>J6*(100%-'Données projet'!$C$24)*(100%-'Données projet'!$C$25)*(100%-'Données projet'!$C$26)*(100%-'Données projet'!$C$27)</f>
        <v>5.1282000000000005</v>
      </c>
      <c r="L6" s="159">
        <f ca="1">G6+I6+K6</f>
        <v>598.38298106413049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Charme</v>
      </c>
      <c r="B7" s="161">
        <f>'Données projet'!D10</f>
        <v>0.31262000000000001</v>
      </c>
      <c r="C7" s="154">
        <f ca="1">IF(OR('Données projet'!B10="",'Données projet'!C10="",'Données projet'!C10=0%),0,Calculateur!AN3)</f>
        <v>370.04285308422544</v>
      </c>
      <c r="D7" s="154">
        <f>IF(OR('Données projet'!B10="",'Données projet'!C10="",'Données projet'!C10=0%),0,Calculateur!AO3)</f>
        <v>218.53758068502731</v>
      </c>
      <c r="E7" s="154">
        <f t="shared" ref="E7:E15" ca="1" si="0">MIN(C7,D7)</f>
        <v>218.53758068502731</v>
      </c>
      <c r="F7" s="154">
        <f t="shared" ref="F7:F15" ca="1" si="1">E7*B7</f>
        <v>68.319218473753239</v>
      </c>
      <c r="G7" s="154">
        <f ca="1">F7*(100%-'Données projet'!$C$24)*(100%-'Données projet'!$C$25)*(100%-'Données projet'!$C$26)*(100%-'Données projet'!$C$27)</f>
        <v>61.487296626377919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1.25048</v>
      </c>
      <c r="K7" s="158">
        <f>J7*(100%-'Données projet'!$C$24)*(100%-'Données projet'!$C$25)*(100%-'Données projet'!$C$26)*(100%-'Données projet'!$C$27)</f>
        <v>1.125432</v>
      </c>
      <c r="L7" s="159">
        <f t="shared" ref="L7:L15" ca="1" si="2">G7+I7+K7</f>
        <v>62.612728626377915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Pin maritime</v>
      </c>
      <c r="B8" s="161">
        <f>'Données projet'!D11</f>
        <v>3.9000499999999998</v>
      </c>
      <c r="C8" s="154">
        <f ca="1">IF(OR('Données projet'!B11="",'Données projet'!C11="",'Données projet'!C11=0%),0,Calculateur!BI3)</f>
        <v>225.82185458224626</v>
      </c>
      <c r="D8" s="154">
        <f>IF(OR('Données projet'!B11="",'Données projet'!C11="",'Données projet'!C11=0%),0,Calculateur!BJ3)</f>
        <v>363.02009369315243</v>
      </c>
      <c r="E8" s="154">
        <f t="shared" ca="1" si="0"/>
        <v>225.82185458224626</v>
      </c>
      <c r="F8" s="154">
        <f t="shared" ca="1" si="1"/>
        <v>880.71652396348952</v>
      </c>
      <c r="G8" s="154">
        <f ca="1">F8*(100%-'Données projet'!$C$24)*(100%-'Données projet'!$C$25)*(100%-'Données projet'!$C$26)*(100%-'Données projet'!$C$27)</f>
        <v>792.64487156714063</v>
      </c>
      <c r="H8" s="162">
        <f>IF(OR('Données projet'!B11="",'Données projet'!C11="",'Données projet'!C11=0%),0,AVERAGE(Calculateur!$BS$3:$BS$33)*B8)</f>
        <v>31.656993784874505</v>
      </c>
      <c r="I8" s="156">
        <f>H8*(100%-'Données projet'!$C$24)*(100%-'Données projet'!$C$25)*(100%-'Données projet'!$C$26)*(100%-'Données projet'!$C$27)</f>
        <v>28.491294406387055</v>
      </c>
      <c r="J8" s="157">
        <f>IF(OR('Données projet'!B11="",'Données projet'!C11="",'Données projet'!C11=0%),0,SUM(Calculateur!$BL$3:$BL$33)*VLOOKUP('Données projet'!$B$11,Paramètres!$A$1:$I$89,9,0)*B8)</f>
        <v>253.78054355499998</v>
      </c>
      <c r="K8" s="158">
        <f>J8*(100%-'Données projet'!$C$24)*(100%-'Données projet'!$C$25)*(100%-'Données projet'!$C$26)*(100%-'Données projet'!$C$27)</f>
        <v>228.4024891995</v>
      </c>
      <c r="L8" s="159">
        <f t="shared" ca="1" si="2"/>
        <v>1049.5386551730276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Cormier</v>
      </c>
      <c r="B9" s="161">
        <f>'Données projet'!D12</f>
        <v>0.31262000000000001</v>
      </c>
      <c r="C9" s="154">
        <f ca="1">IF(OR('Données projet'!B12="",'Données projet'!C12="",'Données projet'!C12=0%),0,Calculateur!CD3)</f>
        <v>380.16582491288449</v>
      </c>
      <c r="D9" s="154">
        <f>IF(OR('Données projet'!B12="",'Données projet'!C12="",'Données projet'!C12=0%),0,Calculateur!CE3)</f>
        <v>166.97658184507776</v>
      </c>
      <c r="E9" s="154">
        <f t="shared" ca="1" si="0"/>
        <v>166.97658184507776</v>
      </c>
      <c r="F9" s="154">
        <f t="shared" ca="1" si="1"/>
        <v>52.200219016408212</v>
      </c>
      <c r="G9" s="154">
        <f ca="1">F9*(100%-'Données projet'!$C$24)*(100%-'Données projet'!$C$25)*(100%-'Données projet'!$C$26)*(100%-'Données projet'!$C$27)</f>
        <v>46.980197114767392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46.980197114767392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Alisier torminal</v>
      </c>
      <c r="B10" s="161">
        <f>'Données projet'!D13</f>
        <v>0.31262000000000001</v>
      </c>
      <c r="C10" s="154">
        <f ca="1">IF(OR('Données projet'!B13="",'Données projet'!C13="",'Données projet'!C13=0%),0,Calculateur!CY3)</f>
        <v>345.71694170753534</v>
      </c>
      <c r="D10" s="154">
        <f>IF(OR('Données projet'!B13="",'Données projet'!C13="",'Données projet'!C13=0%),0,Calculateur!CZ3)</f>
        <v>154.08406475869634</v>
      </c>
      <c r="E10" s="154">
        <f t="shared" ca="1" si="0"/>
        <v>154.08406475869634</v>
      </c>
      <c r="F10" s="154">
        <f t="shared" ca="1" si="1"/>
        <v>48.169760324863653</v>
      </c>
      <c r="G10" s="154">
        <f ca="1">F10*(100%-'Données projet'!$C$24)*(100%-'Données projet'!$C$25)*(100%-'Données projet'!$C$26)*(100%-'Données projet'!$C$27)</f>
        <v>43.352784292377287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ca="1" si="2"/>
        <v>43.352784292377287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1708.5777007386596</v>
      </c>
      <c r="G16" s="173">
        <f t="shared" ca="1" si="3"/>
        <v>1537.7199306647938</v>
      </c>
      <c r="H16" s="174">
        <f t="shared" si="3"/>
        <v>31.656993784874505</v>
      </c>
      <c r="I16" s="174">
        <f t="shared" si="3"/>
        <v>28.491294406387055</v>
      </c>
      <c r="J16" s="175">
        <f t="shared" si="3"/>
        <v>260.72902355499997</v>
      </c>
      <c r="K16" s="175">
        <f t="shared" si="3"/>
        <v>234.65612119950001</v>
      </c>
      <c r="L16" s="176">
        <f t="shared" ca="1" si="3"/>
        <v>1800.8673462706806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Charme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Pin maritime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Cormier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7" zoomScale="90" zoomScaleNormal="90" workbookViewId="0">
      <selection activeCell="W14" sqref="W1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1015.4368487505288</v>
      </c>
      <c r="U10" s="188">
        <f>'Données projet'!D9</f>
        <v>2.8490000000000002</v>
      </c>
      <c r="V10" s="187">
        <f>U10*T10</f>
        <v>2892.9795820902568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Charme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313.27938870714297</v>
      </c>
      <c r="U11" s="188">
        <f>'Données projet'!D10</f>
        <v>0.31262000000000001</v>
      </c>
      <c r="V11" s="187">
        <f t="shared" ref="V11" si="0">U11*T11</f>
        <v>97.937402497627033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maritime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2495.6828703443025</v>
      </c>
      <c r="U12" s="188">
        <f>'Données projet'!D11</f>
        <v>3.9000499999999998</v>
      </c>
      <c r="V12" s="187">
        <f t="shared" ref="V12:V19" si="1">U12*T12</f>
        <v>9733.2879784862962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Cormier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226.14867016012838</v>
      </c>
      <c r="U13" s="188">
        <f>'Données projet'!D12</f>
        <v>0.31262000000000001</v>
      </c>
      <c r="V13" s="187">
        <f t="shared" si="1"/>
        <v>70.698597265459341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322.43508019655599</v>
      </c>
      <c r="U14" s="188">
        <f>'Données projet'!D13</f>
        <v>0.31262000000000001</v>
      </c>
      <c r="V14" s="187">
        <f t="shared" si="1"/>
        <v>100.79965477104733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5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4555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-22177.796784889309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8</v>
      </c>
      <c r="C24" s="204">
        <v>10</v>
      </c>
      <c r="D24" s="192">
        <f t="shared" ref="D24:D42" si="2">B24*C24</f>
        <v>80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29311.167289647998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193</v>
      </c>
      <c r="Q25" s="263"/>
      <c r="R25" s="25"/>
      <c r="S25" s="196" t="s">
        <v>266</v>
      </c>
      <c r="T25" s="339">
        <f ca="1">T23-T24</f>
        <v>-51488.964074537304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42</v>
      </c>
      <c r="C26" s="204">
        <v>20</v>
      </c>
      <c r="D26" s="192">
        <f t="shared" si="2"/>
        <v>840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42</v>
      </c>
      <c r="C28" s="204">
        <v>30</v>
      </c>
      <c r="D28" s="192">
        <f t="shared" si="2"/>
        <v>1260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42</v>
      </c>
      <c r="C30" s="204">
        <v>40</v>
      </c>
      <c r="D30" s="192">
        <f t="shared" si="2"/>
        <v>1680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3806.6451025516881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42</v>
      </c>
      <c r="C32" s="204">
        <v>50</v>
      </c>
      <c r="D32" s="192">
        <f t="shared" si="2"/>
        <v>2100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193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42</v>
      </c>
      <c r="C34" s="204">
        <v>60</v>
      </c>
      <c r="D34" s="192">
        <f t="shared" si="2"/>
        <v>2520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184.68899521531102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85</v>
      </c>
      <c r="B35" s="191">
        <f>'Données projet'!D48</f>
        <v>42</v>
      </c>
      <c r="C35" s="204">
        <v>70</v>
      </c>
      <c r="D35" s="192">
        <f t="shared" si="2"/>
        <v>2940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176.73588058881438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95</v>
      </c>
      <c r="B36" s="191">
        <f>'Données projet'!D49</f>
        <v>42</v>
      </c>
      <c r="C36" s="204">
        <v>75</v>
      </c>
      <c r="D36" s="192">
        <f t="shared" si="2"/>
        <v>3150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169.1252445825975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105</v>
      </c>
      <c r="B37" s="191">
        <f>'Données projet'!D50</f>
        <v>41</v>
      </c>
      <c r="C37" s="204">
        <v>80</v>
      </c>
      <c r="D37" s="192">
        <f t="shared" si="2"/>
        <v>3280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161.84233931349047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115</v>
      </c>
      <c r="B38" s="191">
        <f>'Données projet'!D51</f>
        <v>37</v>
      </c>
      <c r="C38" s="204">
        <v>85</v>
      </c>
      <c r="D38" s="192">
        <f t="shared" si="2"/>
        <v>3145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154.87305197463203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125</v>
      </c>
      <c r="B39" s="191">
        <f>'Données projet'!D52</f>
        <v>33</v>
      </c>
      <c r="C39" s="204">
        <v>90</v>
      </c>
      <c r="D39" s="192">
        <f t="shared" si="2"/>
        <v>2970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148.20387748768619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135</v>
      </c>
      <c r="B40" s="191">
        <f>'Données projet'!D53</f>
        <v>29</v>
      </c>
      <c r="C40" s="204">
        <v>100</v>
      </c>
      <c r="D40" s="192">
        <f t="shared" si="2"/>
        <v>2900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141.82189233271404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145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135.71472950498958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306</v>
      </c>
      <c r="C42" s="204">
        <v>200</v>
      </c>
      <c r="D42" s="192">
        <f t="shared" si="2"/>
        <v>61200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129.87055455022926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124.27804263179836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118.92635658545296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Charme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113.80512591909378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108.90442671683614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104.21476240845567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99.727045366943216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95.432579298510291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91.323042390918928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87.390471187482248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83.627245155485411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80.026071919124817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76.579973128349096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16</v>
      </c>
      <c r="C55" s="202">
        <v>10</v>
      </c>
      <c r="D55" s="189">
        <f t="shared" ref="D55:D73" si="4">B55*C55</f>
        <v>160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73.282270936219263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70.126575058583015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23</v>
      </c>
      <c r="C57" s="202">
        <v>10</v>
      </c>
      <c r="D57" s="189">
        <f t="shared" si="4"/>
        <v>230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67.106770390988544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64.21700515884072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27</v>
      </c>
      <c r="C59" s="202">
        <v>10</v>
      </c>
      <c r="D59" s="189">
        <f t="shared" si="4"/>
        <v>270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61.451679577838028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58.805435002715811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28</v>
      </c>
      <c r="C61" s="202">
        <v>20</v>
      </c>
      <c r="D61" s="189">
        <f t="shared" si="4"/>
        <v>560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56.273143543268738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53.849898127529883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28</v>
      </c>
      <c r="C63" s="202">
        <v>20</v>
      </c>
      <c r="D63" s="189">
        <f t="shared" si="4"/>
        <v>560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51.531002992851583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49.311964586460832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28</v>
      </c>
      <c r="C65" s="202">
        <v>25</v>
      </c>
      <c r="D65" s="189">
        <f t="shared" si="4"/>
        <v>700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47.188482857857281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45.156442926179224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85</v>
      </c>
      <c r="B67" s="191">
        <f>'Données projet'!D75</f>
        <v>27</v>
      </c>
      <c r="C67" s="202">
        <v>30</v>
      </c>
      <c r="D67" s="189">
        <f t="shared" si="4"/>
        <v>810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43.211907106391607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90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41.351107278843642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95</v>
      </c>
      <c r="B69" s="191">
        <f>'Données projet'!D77</f>
        <v>26</v>
      </c>
      <c r="C69" s="202">
        <v>35</v>
      </c>
      <c r="D69" s="189">
        <f t="shared" si="4"/>
        <v>910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39.57043758741019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100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37.86644745206717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105</v>
      </c>
      <c r="B71" s="191">
        <f>'Données projet'!D79</f>
        <v>25</v>
      </c>
      <c r="C71" s="202">
        <v>40</v>
      </c>
      <c r="D71" s="189">
        <f t="shared" si="4"/>
        <v>1000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36.235834882360933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110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34.67544007881429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120</v>
      </c>
      <c r="B73" s="191">
        <f>'Données projet'!D81</f>
        <v>300</v>
      </c>
      <c r="C73" s="202">
        <v>50</v>
      </c>
      <c r="D73" s="189">
        <f t="shared" si="4"/>
        <v>15000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33.182239309870141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31.753339052507318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30.385970385174474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Pin maritime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str">
        <f>IF(O75+1&lt;=MIN('Données projet'!$E$9:$E$18),O75+1,"STOP")</f>
        <v>STOP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12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13</v>
      </c>
      <c r="B86" s="191">
        <f>'Données projet'!D89</f>
        <v>0</v>
      </c>
      <c r="C86" s="202">
        <v>10</v>
      </c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14</v>
      </c>
      <c r="B87" s="191">
        <f>'Données projet'!D90</f>
        <v>22.2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15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16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17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18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19</v>
      </c>
      <c r="B92" s="191">
        <f>'Données projet'!D95</f>
        <v>34.090000000000003</v>
      </c>
      <c r="C92" s="202">
        <v>10</v>
      </c>
      <c r="D92" s="189">
        <f t="shared" si="6"/>
        <v>340.90000000000003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20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21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22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23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24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25</v>
      </c>
      <c r="B98" s="191">
        <f>'Données projet'!D101</f>
        <v>54</v>
      </c>
      <c r="C98" s="202">
        <v>20</v>
      </c>
      <c r="D98" s="189">
        <f t="shared" si="6"/>
        <v>1080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26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27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28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29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30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42</v>
      </c>
      <c r="B104" s="191">
        <f>'Données projet'!D107</f>
        <v>360.8845</v>
      </c>
      <c r="C104" s="202">
        <v>35</v>
      </c>
      <c r="D104" s="189">
        <f t="shared" si="6"/>
        <v>12630.9575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Cormier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30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35</v>
      </c>
      <c r="B118" s="191">
        <f>'Données projet'!D116</f>
        <v>13</v>
      </c>
      <c r="C118" s="202">
        <v>10</v>
      </c>
      <c r="D118" s="189">
        <f t="shared" si="8"/>
        <v>130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40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45</v>
      </c>
      <c r="B120" s="191">
        <f>'Données projet'!D118</f>
        <v>28</v>
      </c>
      <c r="C120" s="202">
        <v>10</v>
      </c>
      <c r="D120" s="189">
        <f t="shared" si="8"/>
        <v>280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50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55</v>
      </c>
      <c r="B122" s="191">
        <f>'Données projet'!D120</f>
        <v>28</v>
      </c>
      <c r="C122" s="202">
        <v>15</v>
      </c>
      <c r="D122" s="189">
        <f t="shared" si="8"/>
        <v>420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60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65</v>
      </c>
      <c r="B124" s="191">
        <f>'Données projet'!D122</f>
        <v>28</v>
      </c>
      <c r="C124" s="202">
        <v>20</v>
      </c>
      <c r="D124" s="189">
        <f t="shared" si="8"/>
        <v>560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70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75</v>
      </c>
      <c r="B126" s="191">
        <f>'Données projet'!D124</f>
        <v>28</v>
      </c>
      <c r="C126" s="202">
        <v>20</v>
      </c>
      <c r="D126" s="189">
        <f t="shared" si="8"/>
        <v>560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80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85</v>
      </c>
      <c r="B128" s="191">
        <f>'Données projet'!D126</f>
        <v>28</v>
      </c>
      <c r="C128" s="202">
        <v>25</v>
      </c>
      <c r="D128" s="189">
        <f t="shared" si="8"/>
        <v>700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95</v>
      </c>
      <c r="B129" s="191">
        <f>'Données projet'!D127</f>
        <v>28</v>
      </c>
      <c r="C129" s="202">
        <v>30</v>
      </c>
      <c r="D129" s="189">
        <f t="shared" si="8"/>
        <v>840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105</v>
      </c>
      <c r="B130" s="191">
        <f>'Données projet'!D128</f>
        <v>28</v>
      </c>
      <c r="C130" s="202">
        <v>35</v>
      </c>
      <c r="D130" s="189">
        <f t="shared" si="8"/>
        <v>980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115</v>
      </c>
      <c r="B131" s="191">
        <f>'Données projet'!D129</f>
        <v>26</v>
      </c>
      <c r="C131" s="202">
        <v>40</v>
      </c>
      <c r="D131" s="189">
        <f t="shared" si="8"/>
        <v>1040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125</v>
      </c>
      <c r="B132" s="191">
        <f>'Données projet'!D130</f>
        <v>23</v>
      </c>
      <c r="C132" s="202">
        <v>45</v>
      </c>
      <c r="D132" s="189">
        <f t="shared" si="8"/>
        <v>1035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135</v>
      </c>
      <c r="B133" s="191">
        <f>'Données projet'!D131</f>
        <v>19</v>
      </c>
      <c r="C133" s="202">
        <v>50</v>
      </c>
      <c r="D133" s="189">
        <f t="shared" si="8"/>
        <v>950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145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150</v>
      </c>
      <c r="B135" s="191">
        <f>'Données projet'!D133</f>
        <v>232</v>
      </c>
      <c r="C135" s="202">
        <v>55</v>
      </c>
      <c r="D135" s="189">
        <f t="shared" si="8"/>
        <v>12760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85">
        <f>'Données projet'!D142</f>
        <v>13</v>
      </c>
      <c r="C149" s="202">
        <v>10</v>
      </c>
      <c r="D149" s="192">
        <f t="shared" si="10"/>
        <v>130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45</v>
      </c>
      <c r="B151" s="185">
        <f>'Données projet'!D144</f>
        <v>28</v>
      </c>
      <c r="C151" s="202">
        <v>10</v>
      </c>
      <c r="D151" s="192">
        <f t="shared" si="10"/>
        <v>280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55</v>
      </c>
      <c r="B153" s="185">
        <f>'Données projet'!D146</f>
        <v>28</v>
      </c>
      <c r="C153" s="202">
        <v>20</v>
      </c>
      <c r="D153" s="192">
        <f t="shared" si="10"/>
        <v>560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65</v>
      </c>
      <c r="B155" s="185">
        <f>'Données projet'!D148</f>
        <v>28</v>
      </c>
      <c r="C155" s="202">
        <v>25</v>
      </c>
      <c r="D155" s="192">
        <f t="shared" si="10"/>
        <v>700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70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75</v>
      </c>
      <c r="B157" s="185">
        <f>'Données projet'!D150</f>
        <v>28</v>
      </c>
      <c r="C157" s="202">
        <v>30</v>
      </c>
      <c r="D157" s="192">
        <f t="shared" si="10"/>
        <v>840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80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85</v>
      </c>
      <c r="B159" s="185">
        <f>'Données projet'!D152</f>
        <v>28</v>
      </c>
      <c r="C159" s="202">
        <v>40</v>
      </c>
      <c r="D159" s="192">
        <f t="shared" si="10"/>
        <v>1120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95</v>
      </c>
      <c r="B160" s="185">
        <f>'Données projet'!D153</f>
        <v>28</v>
      </c>
      <c r="C160" s="202">
        <v>50</v>
      </c>
      <c r="D160" s="192">
        <f t="shared" si="10"/>
        <v>1400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105</v>
      </c>
      <c r="B161" s="185">
        <f>'Données projet'!D154</f>
        <v>28</v>
      </c>
      <c r="C161" s="202">
        <v>60</v>
      </c>
      <c r="D161" s="192">
        <f t="shared" si="10"/>
        <v>1680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115</v>
      </c>
      <c r="B162" s="185">
        <f>'Données projet'!D155</f>
        <v>26</v>
      </c>
      <c r="C162" s="202">
        <v>70</v>
      </c>
      <c r="D162" s="192">
        <f t="shared" si="10"/>
        <v>1820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125</v>
      </c>
      <c r="B163" s="185">
        <f>'Données projet'!D156</f>
        <v>23</v>
      </c>
      <c r="C163" s="202">
        <v>80</v>
      </c>
      <c r="D163" s="192">
        <f t="shared" si="10"/>
        <v>1840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135</v>
      </c>
      <c r="B164" s="185">
        <f>'Données projet'!D157</f>
        <v>19</v>
      </c>
      <c r="C164" s="202">
        <v>90</v>
      </c>
      <c r="D164" s="192">
        <f t="shared" si="10"/>
        <v>1710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145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232</v>
      </c>
      <c r="C166" s="202">
        <v>150</v>
      </c>
      <c r="D166" s="192">
        <f t="shared" si="10"/>
        <v>34800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2022-02-17T10:25:55Z</dcterms:modified>
</cp:coreProperties>
</file>